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CameronAndrews1/Desktop/Money/Lotus/Website/Resources/"/>
    </mc:Choice>
  </mc:AlternateContent>
  <bookViews>
    <workbookView xWindow="0" yWindow="460" windowWidth="23640" windowHeight="12540"/>
  </bookViews>
  <sheets>
    <sheet name="Overview" sheetId="4" r:id="rId1"/>
    <sheet name="Inputs &amp; Summary" sheetId="1" r:id="rId2"/>
    <sheet name="Cashflows" sheetId="2" r:id="rId3"/>
    <sheet name="Proforma" sheetId="3" r:id="rId4"/>
  </sheets>
  <definedNames>
    <definedName name="Ann_Expense_Growth">'Inputs &amp; Summary'!$L$29</definedName>
    <definedName name="Ann_Income_Growth">'Inputs &amp; Summary'!$L$28</definedName>
    <definedName name="Borrowing_Rate">'Inputs &amp; Summary'!$L$16</definedName>
    <definedName name="Broker_Fee">'Inputs &amp; Summary'!$F$28</definedName>
    <definedName name="Budget">'Inputs &amp; Summary'!$Y$29</definedName>
    <definedName name="Closing_Costs_Percentage">'Inputs &amp; Summary'!$F$23</definedName>
    <definedName name="Due_Dil_Costs">'Inputs &amp; Summary'!$F$24</definedName>
    <definedName name="Gross_Mthly_Rent">'Inputs &amp; Summary'!$L$22</definedName>
    <definedName name="Insurance">'Inputs &amp; Summary'!$F$19</definedName>
    <definedName name="Loan_Amount">'Inputs &amp; Summary'!$L$15</definedName>
    <definedName name="OpEx">'Inputs &amp; Summary'!$L$23</definedName>
    <definedName name="Payment">'Inputs &amp; Summary'!$L$19</definedName>
    <definedName name="Prelim_Budget">'Inputs &amp; Summary'!$W$5</definedName>
    <definedName name="property_mgmt_percentage">'Inputs &amp; Summary'!$L$24</definedName>
    <definedName name="Property_Tax">'Inputs &amp; Summary'!$F$18</definedName>
    <definedName name="Provision">'Inputs &amp; Summary'!$L$27</definedName>
    <definedName name="Purch_Date">'Inputs &amp; Summary'!$F$10</definedName>
    <definedName name="Purch_Price">'Inputs &amp; Summary'!$F$22</definedName>
    <definedName name="Sale_Date">'Inputs &amp; Summary'!$F$15</definedName>
    <definedName name="Sale_Price">'Inputs &amp; Summary'!$F$27</definedName>
    <definedName name="Strategy">'Inputs &amp; Summary'!$F$8</definedName>
    <definedName name="Term">'Inputs &amp; Summary'!$L$17</definedName>
    <definedName name="Vacancy_Percentage">'Inputs &amp; Summary'!$L$26</definedName>
  </definedNames>
  <calcPr calcId="162913" iterate="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29" i="1" l="1"/>
  <c r="F17" i="1"/>
  <c r="F14" i="1"/>
  <c r="BL12" i="2"/>
  <c r="BK12" i="2"/>
  <c r="BK13" i="2"/>
  <c r="BJ12" i="2"/>
  <c r="BJ13" i="2"/>
  <c r="BI12" i="2"/>
  <c r="BI13" i="2"/>
  <c r="BI14" i="2"/>
  <c r="BH12" i="2"/>
  <c r="BG12" i="2"/>
  <c r="BG13" i="2"/>
  <c r="BF12" i="2"/>
  <c r="BF13" i="2"/>
  <c r="BE12" i="2"/>
  <c r="BE13" i="2"/>
  <c r="BE14" i="2"/>
  <c r="BD12" i="2"/>
  <c r="BC12" i="2"/>
  <c r="BC13" i="2"/>
  <c r="BB12" i="2"/>
  <c r="BB13" i="2"/>
  <c r="BA12" i="2"/>
  <c r="BA13" i="2"/>
  <c r="BA14" i="2"/>
  <c r="AZ12" i="2"/>
  <c r="AZ13" i="2"/>
  <c r="AY12" i="2"/>
  <c r="AY13" i="2"/>
  <c r="AX12" i="2"/>
  <c r="AX13" i="2"/>
  <c r="AW12" i="2"/>
  <c r="AW13" i="2"/>
  <c r="AW14" i="2"/>
  <c r="AV12" i="2"/>
  <c r="AU12" i="2"/>
  <c r="AU13" i="2"/>
  <c r="AT12" i="2"/>
  <c r="AT13" i="2"/>
  <c r="AS12" i="2"/>
  <c r="AS13" i="2"/>
  <c r="AS14" i="2"/>
  <c r="AR12" i="2"/>
  <c r="AR13" i="2"/>
  <c r="AQ12" i="2"/>
  <c r="AQ13" i="2"/>
  <c r="AP12" i="2"/>
  <c r="AP13" i="2"/>
  <c r="AO12" i="2"/>
  <c r="AO13" i="2"/>
  <c r="AO14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H14" i="3"/>
  <c r="AB12" i="2"/>
  <c r="AA12" i="2"/>
  <c r="Z12" i="2"/>
  <c r="Y12" i="2"/>
  <c r="X12" i="2"/>
  <c r="W12" i="2"/>
  <c r="V12" i="2"/>
  <c r="U12" i="2"/>
  <c r="T12" i="2"/>
  <c r="S12" i="2"/>
  <c r="R12" i="2"/>
  <c r="Q12" i="2"/>
  <c r="P12" i="2"/>
  <c r="O12" i="2"/>
  <c r="N12" i="2"/>
  <c r="M12" i="2"/>
  <c r="L12" i="2"/>
  <c r="K12" i="2"/>
  <c r="J12" i="2"/>
  <c r="I12" i="2"/>
  <c r="H12" i="2"/>
  <c r="G12" i="2"/>
  <c r="F12" i="2"/>
  <c r="F13" i="2"/>
  <c r="D18" i="2"/>
  <c r="D17" i="2"/>
  <c r="D16" i="2"/>
  <c r="BL18" i="2"/>
  <c r="BK18" i="2"/>
  <c r="BJ18" i="2"/>
  <c r="BI18" i="2"/>
  <c r="BH18" i="2"/>
  <c r="BG18" i="2"/>
  <c r="BF18" i="2"/>
  <c r="BE18" i="2"/>
  <c r="BD18" i="2"/>
  <c r="BC18" i="2"/>
  <c r="BB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Q18" i="2"/>
  <c r="P18" i="2"/>
  <c r="O18" i="2"/>
  <c r="N18" i="2"/>
  <c r="M18" i="2"/>
  <c r="L18" i="2"/>
  <c r="K18" i="2"/>
  <c r="J18" i="2"/>
  <c r="I18" i="2"/>
  <c r="H18" i="2"/>
  <c r="G18" i="2"/>
  <c r="F18" i="2"/>
  <c r="BL17" i="2"/>
  <c r="BK17" i="2"/>
  <c r="BJ17" i="2"/>
  <c r="BI17" i="2"/>
  <c r="BH17" i="2"/>
  <c r="BG17" i="2"/>
  <c r="BF17" i="2"/>
  <c r="BE17" i="2"/>
  <c r="BD17" i="2"/>
  <c r="BC17" i="2"/>
  <c r="BB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Q17" i="2"/>
  <c r="P17" i="2"/>
  <c r="O17" i="2"/>
  <c r="N17" i="2"/>
  <c r="M17" i="2"/>
  <c r="L17" i="2"/>
  <c r="K17" i="2"/>
  <c r="J17" i="2"/>
  <c r="I17" i="2"/>
  <c r="H17" i="2"/>
  <c r="G17" i="2"/>
  <c r="F17" i="2"/>
  <c r="BL16" i="2"/>
  <c r="BK16" i="2"/>
  <c r="BJ16" i="2"/>
  <c r="BI16" i="2"/>
  <c r="BH16" i="2"/>
  <c r="BG16" i="2"/>
  <c r="BF16" i="2"/>
  <c r="BE16" i="2"/>
  <c r="BD16" i="2"/>
  <c r="BC16" i="2"/>
  <c r="BB16" i="2"/>
  <c r="BA16" i="2"/>
  <c r="AZ16" i="2"/>
  <c r="AY16" i="2"/>
  <c r="AX16" i="2"/>
  <c r="AW16" i="2"/>
  <c r="AV16" i="2"/>
  <c r="AU16" i="2"/>
  <c r="AT16" i="2"/>
  <c r="AS16" i="2"/>
  <c r="AR16" i="2"/>
  <c r="AQ16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Q16" i="2"/>
  <c r="G18" i="3"/>
  <c r="P16" i="2"/>
  <c r="O16" i="2"/>
  <c r="N16" i="2"/>
  <c r="M16" i="2"/>
  <c r="L16" i="2"/>
  <c r="K16" i="2"/>
  <c r="J16" i="2"/>
  <c r="I16" i="2"/>
  <c r="H16" i="2"/>
  <c r="G16" i="2"/>
  <c r="F16" i="2"/>
  <c r="BL25" i="2"/>
  <c r="BK25" i="2"/>
  <c r="BJ25" i="2"/>
  <c r="BI25" i="2"/>
  <c r="BH25" i="2"/>
  <c r="BG25" i="2"/>
  <c r="BF25" i="2"/>
  <c r="BE25" i="2"/>
  <c r="BD25" i="2"/>
  <c r="BC25" i="2"/>
  <c r="J27" i="3"/>
  <c r="BB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A25" i="2"/>
  <c r="Z25" i="2"/>
  <c r="Y25" i="2"/>
  <c r="X25" i="2"/>
  <c r="W25" i="2"/>
  <c r="V25" i="2"/>
  <c r="U25" i="2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D26" i="2"/>
  <c r="M36" i="1"/>
  <c r="M35" i="1"/>
  <c r="M34" i="1"/>
  <c r="K43" i="1"/>
  <c r="F39" i="1"/>
  <c r="F38" i="1"/>
  <c r="F37" i="1"/>
  <c r="F36" i="1"/>
  <c r="G20" i="3"/>
  <c r="G19" i="3"/>
  <c r="F7" i="3"/>
  <c r="F5" i="3"/>
  <c r="G5" i="3"/>
  <c r="H5" i="3"/>
  <c r="I5" i="3"/>
  <c r="J5" i="3"/>
  <c r="M2" i="3"/>
  <c r="G27" i="3"/>
  <c r="H27" i="3"/>
  <c r="I27" i="3"/>
  <c r="H18" i="3"/>
  <c r="I18" i="3"/>
  <c r="J18" i="3"/>
  <c r="H19" i="3"/>
  <c r="I19" i="3"/>
  <c r="J19" i="3"/>
  <c r="H20" i="3"/>
  <c r="I20" i="3"/>
  <c r="J20" i="3"/>
  <c r="I14" i="3"/>
  <c r="BD13" i="2"/>
  <c r="J14" i="3"/>
  <c r="BH13" i="2"/>
  <c r="BH14" i="2"/>
  <c r="AR14" i="2"/>
  <c r="AZ14" i="2"/>
  <c r="G14" i="3"/>
  <c r="AV13" i="2"/>
  <c r="AV14" i="2"/>
  <c r="BL13" i="2"/>
  <c r="BL14" i="2"/>
  <c r="F14" i="2"/>
  <c r="AP14" i="2"/>
  <c r="AT14" i="2"/>
  <c r="AX14" i="2"/>
  <c r="BB14" i="2"/>
  <c r="BF14" i="2"/>
  <c r="BJ14" i="2"/>
  <c r="AQ14" i="2"/>
  <c r="AU14" i="2"/>
  <c r="AY14" i="2"/>
  <c r="BC14" i="2"/>
  <c r="BG14" i="2"/>
  <c r="BK14" i="2"/>
  <c r="E18" i="2"/>
  <c r="F20" i="3"/>
  <c r="E12" i="2"/>
  <c r="F14" i="3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G2" i="2"/>
  <c r="F2" i="2"/>
  <c r="E2" i="2"/>
  <c r="E17" i="2"/>
  <c r="F19" i="3"/>
  <c r="BL2" i="2"/>
  <c r="D2" i="2"/>
  <c r="J15" i="3"/>
  <c r="J16" i="3"/>
  <c r="I15" i="3"/>
  <c r="I16" i="3"/>
  <c r="BD14" i="2"/>
  <c r="E16" i="2"/>
  <c r="F18" i="3"/>
  <c r="D4" i="2"/>
  <c r="E13" i="2"/>
  <c r="D32" i="2"/>
  <c r="E4" i="2"/>
  <c r="D7" i="2"/>
  <c r="D9" i="2"/>
  <c r="F9" i="3"/>
  <c r="D8" i="2"/>
  <c r="F8" i="3"/>
  <c r="AV19" i="2"/>
  <c r="BL19" i="2"/>
  <c r="AZ19" i="2"/>
  <c r="BD19" i="2"/>
  <c r="AR19" i="2"/>
  <c r="BH19" i="2"/>
  <c r="E14" i="2"/>
  <c r="E19" i="2"/>
  <c r="AO19" i="2"/>
  <c r="AS19" i="2"/>
  <c r="AW19" i="2"/>
  <c r="BA19" i="2"/>
  <c r="BE19" i="2"/>
  <c r="BI19" i="2"/>
  <c r="AP19" i="2"/>
  <c r="AT19" i="2"/>
  <c r="AX19" i="2"/>
  <c r="BB19" i="2"/>
  <c r="BF19" i="2"/>
  <c r="BJ19" i="2"/>
  <c r="AQ19" i="2"/>
  <c r="AU19" i="2"/>
  <c r="AY19" i="2"/>
  <c r="BC19" i="2"/>
  <c r="BG19" i="2"/>
  <c r="BK19" i="2"/>
  <c r="Z2" i="1"/>
  <c r="L26" i="1"/>
  <c r="L15" i="1"/>
  <c r="L19" i="1"/>
  <c r="J21" i="3"/>
  <c r="J22" i="3"/>
  <c r="J24" i="3"/>
  <c r="F15" i="1"/>
  <c r="F41" i="1"/>
  <c r="F25" i="2"/>
  <c r="E25" i="2"/>
  <c r="F10" i="3"/>
  <c r="F11" i="3"/>
  <c r="F44" i="1"/>
  <c r="AN13" i="2"/>
  <c r="AN14" i="2"/>
  <c r="AN19" i="2"/>
  <c r="M13" i="2"/>
  <c r="M14" i="2"/>
  <c r="M19" i="2"/>
  <c r="M20" i="2"/>
  <c r="M22" i="2"/>
  <c r="AC13" i="2"/>
  <c r="R13" i="2"/>
  <c r="R14" i="2"/>
  <c r="AH13" i="2"/>
  <c r="AH14" i="2"/>
  <c r="AH19" i="2"/>
  <c r="AH20" i="2"/>
  <c r="AH22" i="2"/>
  <c r="AJ13" i="2"/>
  <c r="AJ14" i="2"/>
  <c r="AJ19" i="2"/>
  <c r="AJ20" i="2"/>
  <c r="AJ22" i="2"/>
  <c r="O13" i="2"/>
  <c r="O14" i="2"/>
  <c r="AE13" i="2"/>
  <c r="AE14" i="2"/>
  <c r="AE19" i="2"/>
  <c r="AE20" i="2"/>
  <c r="AE22" i="2"/>
  <c r="AF13" i="2"/>
  <c r="AF14" i="2"/>
  <c r="AF19" i="2"/>
  <c r="AF20" i="2"/>
  <c r="AF22" i="2"/>
  <c r="I13" i="2"/>
  <c r="I14" i="2"/>
  <c r="I19" i="2"/>
  <c r="I20" i="2"/>
  <c r="I22" i="2"/>
  <c r="Y13" i="2"/>
  <c r="Y14" i="2"/>
  <c r="Q13" i="2"/>
  <c r="AG13" i="2"/>
  <c r="AG14" i="2"/>
  <c r="AG19" i="2"/>
  <c r="AG20" i="2"/>
  <c r="AG22" i="2"/>
  <c r="V13" i="2"/>
  <c r="V14" i="2"/>
  <c r="V19" i="2"/>
  <c r="V20" i="2"/>
  <c r="V22" i="2"/>
  <c r="AL13" i="2"/>
  <c r="AL14" i="2"/>
  <c r="AL19" i="2"/>
  <c r="S13" i="2"/>
  <c r="S14" i="2"/>
  <c r="AI13" i="2"/>
  <c r="AI14" i="2"/>
  <c r="AI19" i="2"/>
  <c r="AI20" i="2"/>
  <c r="AI22" i="2"/>
  <c r="AD13" i="2"/>
  <c r="AD14" i="2"/>
  <c r="AD19" i="2"/>
  <c r="AD20" i="2"/>
  <c r="AD22" i="2"/>
  <c r="AB13" i="2"/>
  <c r="AB14" i="2"/>
  <c r="AA13" i="2"/>
  <c r="AA14" i="2"/>
  <c r="H13" i="2"/>
  <c r="H14" i="2"/>
  <c r="H19" i="2"/>
  <c r="H20" i="2"/>
  <c r="X13" i="2"/>
  <c r="X14" i="2"/>
  <c r="X19" i="2"/>
  <c r="X20" i="2"/>
  <c r="X22" i="2"/>
  <c r="U13" i="2"/>
  <c r="U14" i="2"/>
  <c r="U19" i="2"/>
  <c r="U20" i="2"/>
  <c r="U22" i="2"/>
  <c r="AK13" i="2"/>
  <c r="AK14" i="2"/>
  <c r="AK19" i="2"/>
  <c r="J13" i="2"/>
  <c r="J14" i="2"/>
  <c r="J19" i="2"/>
  <c r="J20" i="2"/>
  <c r="Z13" i="2"/>
  <c r="Z14" i="2"/>
  <c r="Z19" i="2"/>
  <c r="Z20" i="2"/>
  <c r="Z22" i="2"/>
  <c r="L13" i="2"/>
  <c r="L14" i="2"/>
  <c r="G13" i="2"/>
  <c r="W13" i="2"/>
  <c r="W14" i="2"/>
  <c r="W19" i="2"/>
  <c r="W20" i="2"/>
  <c r="W22" i="2"/>
  <c r="AM13" i="2"/>
  <c r="AM14" i="2"/>
  <c r="AM19" i="2"/>
  <c r="T13" i="2"/>
  <c r="T14" i="2"/>
  <c r="N13" i="2"/>
  <c r="N14" i="2"/>
  <c r="N19" i="2"/>
  <c r="N20" i="2"/>
  <c r="N22" i="2"/>
  <c r="K13" i="2"/>
  <c r="K14" i="2"/>
  <c r="K19" i="2"/>
  <c r="K20" i="2"/>
  <c r="K22" i="2"/>
  <c r="P13" i="2"/>
  <c r="P14" i="2"/>
  <c r="P19" i="2"/>
  <c r="P20" i="2"/>
  <c r="P22" i="2"/>
  <c r="I21" i="3"/>
  <c r="I22" i="3"/>
  <c r="I24" i="3"/>
  <c r="R19" i="2"/>
  <c r="R20" i="2"/>
  <c r="R22" i="2"/>
  <c r="S19" i="2"/>
  <c r="S20" i="2"/>
  <c r="S22" i="2"/>
  <c r="Y19" i="2"/>
  <c r="Y20" i="2"/>
  <c r="Y22" i="2"/>
  <c r="AB19" i="2"/>
  <c r="AB20" i="2"/>
  <c r="AB22" i="2"/>
  <c r="T19" i="2"/>
  <c r="T20" i="2"/>
  <c r="T22" i="2"/>
  <c r="AA19" i="2"/>
  <c r="AA20" i="2"/>
  <c r="AA22" i="2"/>
  <c r="F19" i="2"/>
  <c r="F20" i="2"/>
  <c r="O19" i="2"/>
  <c r="O20" i="2"/>
  <c r="O22" i="2"/>
  <c r="L19" i="2"/>
  <c r="L20" i="2"/>
  <c r="L22" i="2"/>
  <c r="D29" i="2"/>
  <c r="D42" i="2"/>
  <c r="E7" i="2"/>
  <c r="E9" i="2"/>
  <c r="E35" i="2"/>
  <c r="E8" i="2"/>
  <c r="F4" i="2"/>
  <c r="F30" i="2"/>
  <c r="F31" i="2"/>
  <c r="E29" i="2"/>
  <c r="H22" i="2"/>
  <c r="E20" i="2"/>
  <c r="E22" i="2"/>
  <c r="E24" i="2"/>
  <c r="F40" i="1"/>
  <c r="D35" i="2"/>
  <c r="E26" i="2"/>
  <c r="E42" i="2"/>
  <c r="F8" i="2"/>
  <c r="F7" i="2"/>
  <c r="F29" i="2"/>
  <c r="F9" i="2"/>
  <c r="Q14" i="2"/>
  <c r="Q19" i="2"/>
  <c r="G15" i="3"/>
  <c r="G16" i="3"/>
  <c r="AC14" i="2"/>
  <c r="AC19" i="2"/>
  <c r="H15" i="3"/>
  <c r="H16" i="3"/>
  <c r="F27" i="3"/>
  <c r="F48" i="1"/>
  <c r="E30" i="2"/>
  <c r="E31" i="2"/>
  <c r="E32" i="2"/>
  <c r="G14" i="2"/>
  <c r="G19" i="2"/>
  <c r="G20" i="2"/>
  <c r="G22" i="2"/>
  <c r="F15" i="3"/>
  <c r="F16" i="3"/>
  <c r="F21" i="3"/>
  <c r="F22" i="3"/>
  <c r="AL20" i="2"/>
  <c r="AL22" i="2"/>
  <c r="AL24" i="2"/>
  <c r="AL26" i="2"/>
  <c r="AL42" i="2"/>
  <c r="AQ20" i="2"/>
  <c r="AQ22" i="2"/>
  <c r="AQ24" i="2"/>
  <c r="AQ26" i="2"/>
  <c r="AQ42" i="2"/>
  <c r="BA20" i="2"/>
  <c r="BA22" i="2"/>
  <c r="BA24" i="2"/>
  <c r="AO20" i="2"/>
  <c r="AO22" i="2"/>
  <c r="AO24" i="2"/>
  <c r="AT20" i="2"/>
  <c r="AT22" i="2"/>
  <c r="AT24" i="2"/>
  <c r="AT26" i="2"/>
  <c r="AT42" i="2"/>
  <c r="AY20" i="2"/>
  <c r="AY22" i="2"/>
  <c r="AY24" i="2"/>
  <c r="AY26" i="2"/>
  <c r="AY42" i="2"/>
  <c r="AN20" i="2"/>
  <c r="AN22" i="2"/>
  <c r="AN24" i="2"/>
  <c r="AN26" i="2"/>
  <c r="AN42" i="2"/>
  <c r="AS20" i="2"/>
  <c r="AS22" i="2"/>
  <c r="AS24" i="2"/>
  <c r="AS26" i="2"/>
  <c r="AS42" i="2"/>
  <c r="AX20" i="2"/>
  <c r="AX22" i="2"/>
  <c r="AX24" i="2"/>
  <c r="AX26" i="2"/>
  <c r="AX42" i="2"/>
  <c r="AZ20" i="2"/>
  <c r="AZ22" i="2"/>
  <c r="AZ24" i="2"/>
  <c r="AZ26" i="2"/>
  <c r="AZ42" i="2"/>
  <c r="BB20" i="2"/>
  <c r="BB22" i="2"/>
  <c r="BB24" i="2"/>
  <c r="BB26" i="2"/>
  <c r="BB42" i="2"/>
  <c r="BG20" i="2"/>
  <c r="BG22" i="2"/>
  <c r="BG24" i="2"/>
  <c r="BG26" i="2"/>
  <c r="BG42" i="2"/>
  <c r="BJ20" i="2"/>
  <c r="BJ22" i="2"/>
  <c r="BJ24" i="2"/>
  <c r="BJ26" i="2"/>
  <c r="BJ42" i="2"/>
  <c r="AR20" i="2"/>
  <c r="AR22" i="2"/>
  <c r="AR24" i="2"/>
  <c r="AR26" i="2"/>
  <c r="AR42" i="2"/>
  <c r="BI20" i="2"/>
  <c r="BI22" i="2"/>
  <c r="BI24" i="2"/>
  <c r="BI26" i="2"/>
  <c r="BI42" i="2"/>
  <c r="BD20" i="2"/>
  <c r="BD22" i="2"/>
  <c r="BD24" i="2"/>
  <c r="BD26" i="2"/>
  <c r="BD42" i="2"/>
  <c r="AW20" i="2"/>
  <c r="AW22" i="2"/>
  <c r="AW24" i="2"/>
  <c r="AW26" i="2"/>
  <c r="AW42" i="2"/>
  <c r="BK20" i="2"/>
  <c r="BK22" i="2"/>
  <c r="BK24" i="2"/>
  <c r="BK26" i="2"/>
  <c r="BK42" i="2"/>
  <c r="AP20" i="2"/>
  <c r="AP22" i="2"/>
  <c r="AP24" i="2"/>
  <c r="AP26" i="2"/>
  <c r="AP42" i="2"/>
  <c r="AU20" i="2"/>
  <c r="AU22" i="2"/>
  <c r="AU24" i="2"/>
  <c r="AU26" i="2"/>
  <c r="AU42" i="2"/>
  <c r="BE20" i="2"/>
  <c r="BE22" i="2"/>
  <c r="BE24" i="2"/>
  <c r="BE26" i="2"/>
  <c r="BE42" i="2"/>
  <c r="AM20" i="2"/>
  <c r="AM22" i="2"/>
  <c r="AM24" i="2"/>
  <c r="AM26" i="2"/>
  <c r="AM42" i="2"/>
  <c r="AV20" i="2"/>
  <c r="AV22" i="2"/>
  <c r="AV24" i="2"/>
  <c r="AV26" i="2"/>
  <c r="AV42" i="2"/>
  <c r="BC20" i="2"/>
  <c r="BC22" i="2"/>
  <c r="BC24" i="2"/>
  <c r="BC26" i="2"/>
  <c r="BC42" i="2"/>
  <c r="BH20" i="2"/>
  <c r="BH22" i="2"/>
  <c r="BH24" i="2"/>
  <c r="BH26" i="2"/>
  <c r="BH42" i="2"/>
  <c r="BL20" i="2"/>
  <c r="BL22" i="2"/>
  <c r="BL24" i="2"/>
  <c r="BL26" i="2"/>
  <c r="BL42" i="2"/>
  <c r="AK20" i="2"/>
  <c r="AK22" i="2"/>
  <c r="AK24" i="2"/>
  <c r="AK26" i="2"/>
  <c r="AK42" i="2"/>
  <c r="BF20" i="2"/>
  <c r="BF22" i="2"/>
  <c r="BF24" i="2"/>
  <c r="BF26" i="2"/>
  <c r="BF42" i="2"/>
  <c r="J22" i="2"/>
  <c r="J24" i="2"/>
  <c r="J26" i="2"/>
  <c r="J42" i="2"/>
  <c r="F22" i="2"/>
  <c r="F24" i="2"/>
  <c r="F26" i="2"/>
  <c r="F32" i="2"/>
  <c r="X24" i="2"/>
  <c r="X26" i="2"/>
  <c r="X42" i="2"/>
  <c r="AG24" i="2"/>
  <c r="AG26" i="2"/>
  <c r="AG42" i="2"/>
  <c r="O24" i="2"/>
  <c r="O26" i="2"/>
  <c r="O42" i="2"/>
  <c r="AB24" i="2"/>
  <c r="AB26" i="2"/>
  <c r="AB42" i="2"/>
  <c r="W24" i="2"/>
  <c r="W26" i="2"/>
  <c r="W42" i="2"/>
  <c r="K24" i="2"/>
  <c r="K26" i="2"/>
  <c r="K42" i="2"/>
  <c r="U24" i="2"/>
  <c r="U26" i="2"/>
  <c r="U42" i="2"/>
  <c r="Z24" i="2"/>
  <c r="Z26" i="2"/>
  <c r="Z42" i="2"/>
  <c r="AE24" i="2"/>
  <c r="AE26" i="2"/>
  <c r="AE42" i="2"/>
  <c r="I24" i="2"/>
  <c r="I26" i="2"/>
  <c r="I42" i="2"/>
  <c r="N24" i="2"/>
  <c r="N26" i="2"/>
  <c r="N42" i="2"/>
  <c r="S24" i="2"/>
  <c r="S26" i="2"/>
  <c r="S42" i="2"/>
  <c r="P24" i="2"/>
  <c r="P26" i="2"/>
  <c r="P42" i="2"/>
  <c r="M24" i="2"/>
  <c r="M26" i="2"/>
  <c r="M42" i="2"/>
  <c r="R24" i="2"/>
  <c r="R26" i="2"/>
  <c r="R42" i="2"/>
  <c r="V24" i="2"/>
  <c r="V26" i="2"/>
  <c r="V42" i="2"/>
  <c r="AA24" i="2"/>
  <c r="AA26" i="2"/>
  <c r="AA42" i="2"/>
  <c r="L24" i="2"/>
  <c r="L26" i="2"/>
  <c r="L42" i="2"/>
  <c r="G24" i="2"/>
  <c r="G26" i="2"/>
  <c r="G42" i="2"/>
  <c r="T24" i="2"/>
  <c r="T26" i="2"/>
  <c r="T42" i="2"/>
  <c r="Y24" i="2"/>
  <c r="Y26" i="2"/>
  <c r="Y42" i="2"/>
  <c r="AD24" i="2"/>
  <c r="AD26" i="2"/>
  <c r="AD42" i="2"/>
  <c r="AI24" i="2"/>
  <c r="AI26" i="2"/>
  <c r="AI42" i="2"/>
  <c r="AJ24" i="2"/>
  <c r="AJ26" i="2"/>
  <c r="AJ42" i="2"/>
  <c r="AH24" i="2"/>
  <c r="AH26" i="2"/>
  <c r="AH42" i="2"/>
  <c r="AF24" i="2"/>
  <c r="AF26" i="2"/>
  <c r="AF42" i="2"/>
  <c r="H24" i="2"/>
  <c r="H26" i="2"/>
  <c r="H42" i="2"/>
  <c r="E36" i="2"/>
  <c r="E38" i="2"/>
  <c r="E37" i="2"/>
  <c r="G4" i="2"/>
  <c r="G29" i="2"/>
  <c r="F35" i="2"/>
  <c r="D36" i="2"/>
  <c r="D37" i="2"/>
  <c r="D38" i="2"/>
  <c r="G9" i="2"/>
  <c r="E43" i="2"/>
  <c r="AO26" i="2"/>
  <c r="AO42" i="2"/>
  <c r="I26" i="3"/>
  <c r="I28" i="3"/>
  <c r="AC20" i="2"/>
  <c r="AC22" i="2"/>
  <c r="AC24" i="2"/>
  <c r="H21" i="3"/>
  <c r="H22" i="3"/>
  <c r="H24" i="3"/>
  <c r="BA26" i="2"/>
  <c r="BA42" i="2"/>
  <c r="J26" i="3"/>
  <c r="J28" i="3"/>
  <c r="F24" i="3"/>
  <c r="Q20" i="2"/>
  <c r="Q22" i="2"/>
  <c r="Q24" i="2"/>
  <c r="G21" i="3"/>
  <c r="G22" i="3"/>
  <c r="G24" i="3"/>
  <c r="F26" i="3"/>
  <c r="F28" i="3"/>
  <c r="F42" i="2"/>
  <c r="E39" i="2"/>
  <c r="E52" i="2"/>
  <c r="F38" i="2"/>
  <c r="F36" i="2"/>
  <c r="F37" i="2"/>
  <c r="G30" i="2"/>
  <c r="G31" i="2"/>
  <c r="G8" i="2"/>
  <c r="G7" i="2"/>
  <c r="H4" i="2"/>
  <c r="H9" i="2"/>
  <c r="G35" i="2"/>
  <c r="D39" i="2"/>
  <c r="D52" i="2"/>
  <c r="D43" i="2"/>
  <c r="AC26" i="2"/>
  <c r="AC42" i="2"/>
  <c r="H26" i="3"/>
  <c r="H28" i="3"/>
  <c r="F43" i="2"/>
  <c r="Q26" i="2"/>
  <c r="Q42" i="2"/>
  <c r="G26" i="3"/>
  <c r="G28" i="3"/>
  <c r="F39" i="2"/>
  <c r="F52" i="2"/>
  <c r="G32" i="2"/>
  <c r="G51" i="2"/>
  <c r="G38" i="2"/>
  <c r="I4" i="2"/>
  <c r="I9" i="2"/>
  <c r="H35" i="2"/>
  <c r="G36" i="2"/>
  <c r="H30" i="2"/>
  <c r="H31" i="2"/>
  <c r="H8" i="2"/>
  <c r="G37" i="2"/>
  <c r="H7" i="2"/>
  <c r="H29" i="2"/>
  <c r="I29" i="2"/>
  <c r="I8" i="2"/>
  <c r="E51" i="2"/>
  <c r="F51" i="2"/>
  <c r="H32" i="2"/>
  <c r="H51" i="2"/>
  <c r="G39" i="2"/>
  <c r="G52" i="2"/>
  <c r="H37" i="2"/>
  <c r="I30" i="2"/>
  <c r="I31" i="2"/>
  <c r="I7" i="2"/>
  <c r="H38" i="2"/>
  <c r="H36" i="2"/>
  <c r="H43" i="2"/>
  <c r="G43" i="2"/>
  <c r="J4" i="2"/>
  <c r="J30" i="2"/>
  <c r="J31" i="2"/>
  <c r="I35" i="2"/>
  <c r="J32" i="2"/>
  <c r="J51" i="2"/>
  <c r="I32" i="2"/>
  <c r="I51" i="2"/>
  <c r="H39" i="2"/>
  <c r="H52" i="2"/>
  <c r="J29" i="2"/>
  <c r="J7" i="2"/>
  <c r="J8" i="2"/>
  <c r="J9" i="2"/>
  <c r="I38" i="2"/>
  <c r="K4" i="2"/>
  <c r="K30" i="2"/>
  <c r="K31" i="2"/>
  <c r="J35" i="2"/>
  <c r="I36" i="2"/>
  <c r="I37" i="2"/>
  <c r="K7" i="2"/>
  <c r="K32" i="2"/>
  <c r="K51" i="2"/>
  <c r="I39" i="2"/>
  <c r="J38" i="2"/>
  <c r="K8" i="2"/>
  <c r="K29" i="2"/>
  <c r="I52" i="2"/>
  <c r="I43" i="2"/>
  <c r="J36" i="2"/>
  <c r="L4" i="2"/>
  <c r="L8" i="2"/>
  <c r="K35" i="2"/>
  <c r="J37" i="2"/>
  <c r="K9" i="2"/>
  <c r="J39" i="2"/>
  <c r="K37" i="2"/>
  <c r="J43" i="2"/>
  <c r="J52" i="2"/>
  <c r="K36" i="2"/>
  <c r="M4" i="2"/>
  <c r="M7" i="2"/>
  <c r="L35" i="2"/>
  <c r="K38" i="2"/>
  <c r="L7" i="2"/>
  <c r="L29" i="2"/>
  <c r="L30" i="2"/>
  <c r="L31" i="2"/>
  <c r="L9" i="2"/>
  <c r="K43" i="2"/>
  <c r="L32" i="2"/>
  <c r="L51" i="2"/>
  <c r="L38" i="2"/>
  <c r="K39" i="2"/>
  <c r="K52" i="2"/>
  <c r="L37" i="2"/>
  <c r="L36" i="2"/>
  <c r="L43" i="2"/>
  <c r="M9" i="2"/>
  <c r="M8" i="2"/>
  <c r="M30" i="2"/>
  <c r="M31" i="2"/>
  <c r="M29" i="2"/>
  <c r="N4" i="2"/>
  <c r="N29" i="2"/>
  <c r="M35" i="2"/>
  <c r="M32" i="2"/>
  <c r="M51" i="2"/>
  <c r="M38" i="2"/>
  <c r="L39" i="2"/>
  <c r="L52" i="2"/>
  <c r="N30" i="2"/>
  <c r="N31" i="2"/>
  <c r="N9" i="2"/>
  <c r="M36" i="2"/>
  <c r="N8" i="2"/>
  <c r="M37" i="2"/>
  <c r="N7" i="2"/>
  <c r="O4" i="2"/>
  <c r="N35" i="2"/>
  <c r="M39" i="2"/>
  <c r="N32" i="2"/>
  <c r="N51" i="2"/>
  <c r="N36" i="2"/>
  <c r="M52" i="2"/>
  <c r="M43" i="2"/>
  <c r="P4" i="2"/>
  <c r="P30" i="2"/>
  <c r="P31" i="2"/>
  <c r="O35" i="2"/>
  <c r="N38" i="2"/>
  <c r="N37" i="2"/>
  <c r="O30" i="2"/>
  <c r="O31" i="2"/>
  <c r="O9" i="2"/>
  <c r="O8" i="2"/>
  <c r="O7" i="2"/>
  <c r="O29" i="2"/>
  <c r="N43" i="2"/>
  <c r="P7" i="2"/>
  <c r="P29" i="2"/>
  <c r="P9" i="2"/>
  <c r="P32" i="2"/>
  <c r="P51" i="2"/>
  <c r="N39" i="2"/>
  <c r="N52" i="2"/>
  <c r="O32" i="2"/>
  <c r="O51" i="2"/>
  <c r="O38" i="2"/>
  <c r="P8" i="2"/>
  <c r="O37" i="2"/>
  <c r="O36" i="2"/>
  <c r="Q4" i="2"/>
  <c r="Q29" i="2"/>
  <c r="P35" i="2"/>
  <c r="O39" i="2"/>
  <c r="Q30" i="2"/>
  <c r="Q31" i="2"/>
  <c r="O43" i="2"/>
  <c r="Q7" i="2"/>
  <c r="O52" i="2"/>
  <c r="Q8" i="2"/>
  <c r="Q9" i="2"/>
  <c r="P36" i="2"/>
  <c r="P37" i="2"/>
  <c r="P38" i="2"/>
  <c r="R4" i="2"/>
  <c r="Q35" i="2"/>
  <c r="P39" i="2"/>
  <c r="P52" i="2"/>
  <c r="Q32" i="2"/>
  <c r="Q51" i="2"/>
  <c r="Q36" i="2"/>
  <c r="P43" i="2"/>
  <c r="Q38" i="2"/>
  <c r="S4" i="2"/>
  <c r="S8" i="2"/>
  <c r="R35" i="2"/>
  <c r="R30" i="2"/>
  <c r="R31" i="2"/>
  <c r="R9" i="2"/>
  <c r="Q37" i="2"/>
  <c r="R7" i="2"/>
  <c r="R8" i="2"/>
  <c r="R29" i="2"/>
  <c r="S7" i="2"/>
  <c r="S29" i="2"/>
  <c r="Q43" i="2"/>
  <c r="R32" i="2"/>
  <c r="R51" i="2"/>
  <c r="R36" i="2"/>
  <c r="Q39" i="2"/>
  <c r="Q52" i="2"/>
  <c r="S30" i="2"/>
  <c r="S31" i="2"/>
  <c r="S9" i="2"/>
  <c r="R37" i="2"/>
  <c r="R43" i="2"/>
  <c r="R38" i="2"/>
  <c r="T4" i="2"/>
  <c r="T29" i="2"/>
  <c r="S35" i="2"/>
  <c r="S32" i="2"/>
  <c r="S51" i="2"/>
  <c r="R39" i="2"/>
  <c r="R52" i="2"/>
  <c r="T9" i="2"/>
  <c r="S36" i="2"/>
  <c r="T30" i="2"/>
  <c r="T31" i="2"/>
  <c r="T8" i="2"/>
  <c r="S38" i="2"/>
  <c r="T7" i="2"/>
  <c r="U4" i="2"/>
  <c r="T35" i="2"/>
  <c r="S37" i="2"/>
  <c r="S39" i="2"/>
  <c r="S52" i="2"/>
  <c r="T32" i="2"/>
  <c r="T51" i="2"/>
  <c r="T37" i="2"/>
  <c r="S43" i="2"/>
  <c r="T36" i="2"/>
  <c r="V4" i="2"/>
  <c r="V8" i="2"/>
  <c r="U35" i="2"/>
  <c r="T38" i="2"/>
  <c r="U7" i="2"/>
  <c r="U29" i="2"/>
  <c r="U8" i="2"/>
  <c r="U30" i="2"/>
  <c r="U31" i="2"/>
  <c r="U9" i="2"/>
  <c r="T39" i="2"/>
  <c r="U32" i="2"/>
  <c r="U51" i="2"/>
  <c r="U36" i="2"/>
  <c r="T43" i="2"/>
  <c r="V7" i="2"/>
  <c r="V9" i="2"/>
  <c r="U38" i="2"/>
  <c r="V29" i="2"/>
  <c r="V30" i="2"/>
  <c r="V31" i="2"/>
  <c r="U37" i="2"/>
  <c r="T52" i="2"/>
  <c r="W4" i="2"/>
  <c r="W29" i="2"/>
  <c r="V35" i="2"/>
  <c r="U39" i="2"/>
  <c r="V32" i="2"/>
  <c r="V51" i="2"/>
  <c r="U52" i="2"/>
  <c r="U43" i="2"/>
  <c r="W9" i="2"/>
  <c r="V38" i="2"/>
  <c r="W30" i="2"/>
  <c r="W31" i="2"/>
  <c r="W8" i="2"/>
  <c r="V36" i="2"/>
  <c r="W7" i="2"/>
  <c r="V37" i="2"/>
  <c r="X4" i="2"/>
  <c r="X29" i="2"/>
  <c r="W35" i="2"/>
  <c r="W32" i="2"/>
  <c r="W51" i="2"/>
  <c r="V39" i="2"/>
  <c r="V52" i="2"/>
  <c r="W37" i="2"/>
  <c r="W38" i="2"/>
  <c r="W36" i="2"/>
  <c r="X9" i="2"/>
  <c r="X8" i="2"/>
  <c r="X30" i="2"/>
  <c r="X31" i="2"/>
  <c r="V43" i="2"/>
  <c r="X7" i="2"/>
  <c r="Y4" i="2"/>
  <c r="Y29" i="2"/>
  <c r="X35" i="2"/>
  <c r="W43" i="2"/>
  <c r="X32" i="2"/>
  <c r="X51" i="2"/>
  <c r="W39" i="2"/>
  <c r="W52" i="2"/>
  <c r="X36" i="2"/>
  <c r="Y30" i="2"/>
  <c r="Y31" i="2"/>
  <c r="Y9" i="2"/>
  <c r="Y8" i="2"/>
  <c r="X37" i="2"/>
  <c r="Y7" i="2"/>
  <c r="X38" i="2"/>
  <c r="Z4" i="2"/>
  <c r="Z8" i="2"/>
  <c r="Y35" i="2"/>
  <c r="X39" i="2"/>
  <c r="Y32" i="2"/>
  <c r="Y51" i="2"/>
  <c r="X43" i="2"/>
  <c r="Y36" i="2"/>
  <c r="X52" i="2"/>
  <c r="Z30" i="2"/>
  <c r="Z31" i="2"/>
  <c r="Z9" i="2"/>
  <c r="Y37" i="2"/>
  <c r="AA4" i="2"/>
  <c r="AA9" i="2"/>
  <c r="Z35" i="2"/>
  <c r="Y38" i="2"/>
  <c r="Z7" i="2"/>
  <c r="Z29" i="2"/>
  <c r="Y39" i="2"/>
  <c r="Z32" i="2"/>
  <c r="Z51" i="2"/>
  <c r="Y43" i="2"/>
  <c r="Y52" i="2"/>
  <c r="Z37" i="2"/>
  <c r="AA30" i="2"/>
  <c r="AA31" i="2"/>
  <c r="AB4" i="2"/>
  <c r="AB9" i="2"/>
  <c r="AA35" i="2"/>
  <c r="Z38" i="2"/>
  <c r="Z36" i="2"/>
  <c r="Z43" i="2"/>
  <c r="AA8" i="2"/>
  <c r="AA7" i="2"/>
  <c r="AA29" i="2"/>
  <c r="AB30" i="2"/>
  <c r="AB31" i="2"/>
  <c r="AB32" i="2"/>
  <c r="AB51" i="2"/>
  <c r="AA32" i="2"/>
  <c r="AA51" i="2"/>
  <c r="Z39" i="2"/>
  <c r="Z52" i="2"/>
  <c r="AA38" i="2"/>
  <c r="AA37" i="2"/>
  <c r="AC4" i="2"/>
  <c r="AC9" i="2"/>
  <c r="AB35" i="2"/>
  <c r="AB8" i="2"/>
  <c r="AA36" i="2"/>
  <c r="AA43" i="2"/>
  <c r="AB7" i="2"/>
  <c r="AB29" i="2"/>
  <c r="AB37" i="2"/>
  <c r="AA39" i="2"/>
  <c r="AA52" i="2"/>
  <c r="AC30" i="2"/>
  <c r="AC31" i="2"/>
  <c r="AC8" i="2"/>
  <c r="AD4" i="2"/>
  <c r="AD8" i="2"/>
  <c r="AC35" i="2"/>
  <c r="AB36" i="2"/>
  <c r="AB43" i="2"/>
  <c r="AB38" i="2"/>
  <c r="AC7" i="2"/>
  <c r="AC29" i="2"/>
  <c r="AC32" i="2"/>
  <c r="AC51" i="2"/>
  <c r="AC36" i="2"/>
  <c r="AB39" i="2"/>
  <c r="AB52" i="2"/>
  <c r="AD9" i="2"/>
  <c r="AD30" i="2"/>
  <c r="AD31" i="2"/>
  <c r="AC37" i="2"/>
  <c r="AC38" i="2"/>
  <c r="AE4" i="2"/>
  <c r="AE8" i="2"/>
  <c r="AD35" i="2"/>
  <c r="AD7" i="2"/>
  <c r="AD29" i="2"/>
  <c r="AC43" i="2"/>
  <c r="AC39" i="2"/>
  <c r="AC52" i="2"/>
  <c r="AD32" i="2"/>
  <c r="AD51" i="2"/>
  <c r="AD38" i="2"/>
  <c r="AD36" i="2"/>
  <c r="AE7" i="2"/>
  <c r="AE29" i="2"/>
  <c r="AE9" i="2"/>
  <c r="AE30" i="2"/>
  <c r="AE31" i="2"/>
  <c r="AD37" i="2"/>
  <c r="AD43" i="2"/>
  <c r="AF4" i="2"/>
  <c r="AE35" i="2"/>
  <c r="AD39" i="2"/>
  <c r="AD52" i="2"/>
  <c r="AE32" i="2"/>
  <c r="AE51" i="2"/>
  <c r="AE36" i="2"/>
  <c r="AG4" i="2"/>
  <c r="AG29" i="2"/>
  <c r="AF35" i="2"/>
  <c r="AE38" i="2"/>
  <c r="AF30" i="2"/>
  <c r="AF31" i="2"/>
  <c r="AF8" i="2"/>
  <c r="AE37" i="2"/>
  <c r="AE43" i="2"/>
  <c r="AF7" i="2"/>
  <c r="AF29" i="2"/>
  <c r="AF9" i="2"/>
  <c r="AG30" i="2"/>
  <c r="AG31" i="2"/>
  <c r="AG32" i="2"/>
  <c r="AG51" i="2"/>
  <c r="AG9" i="2"/>
  <c r="AG8" i="2"/>
  <c r="AF32" i="2"/>
  <c r="AF51" i="2"/>
  <c r="AF36" i="2"/>
  <c r="AE39" i="2"/>
  <c r="AE52" i="2"/>
  <c r="AF37" i="2"/>
  <c r="AF38" i="2"/>
  <c r="AG7" i="2"/>
  <c r="AH4" i="2"/>
  <c r="AH29" i="2"/>
  <c r="AG35" i="2"/>
  <c r="AF43" i="2"/>
  <c r="AH9" i="2"/>
  <c r="AF39" i="2"/>
  <c r="AF52" i="2"/>
  <c r="AG38" i="2"/>
  <c r="AG37" i="2"/>
  <c r="AH30" i="2"/>
  <c r="AH31" i="2"/>
  <c r="AH7" i="2"/>
  <c r="AH8" i="2"/>
  <c r="AG36" i="2"/>
  <c r="AI4" i="2"/>
  <c r="AH35" i="2"/>
  <c r="AG39" i="2"/>
  <c r="AG52" i="2"/>
  <c r="AG43" i="2"/>
  <c r="AH32" i="2"/>
  <c r="AH51" i="2"/>
  <c r="AH36" i="2"/>
  <c r="AH38" i="2"/>
  <c r="AJ4" i="2"/>
  <c r="AJ7" i="2"/>
  <c r="AI35" i="2"/>
  <c r="AH37" i="2"/>
  <c r="AH43" i="2"/>
  <c r="AI9" i="2"/>
  <c r="AI8" i="2"/>
  <c r="AI30" i="2"/>
  <c r="AI31" i="2"/>
  <c r="AI7" i="2"/>
  <c r="AI29" i="2"/>
  <c r="AJ9" i="2"/>
  <c r="AI32" i="2"/>
  <c r="AI51" i="2"/>
  <c r="AH39" i="2"/>
  <c r="AH52" i="2"/>
  <c r="AI36" i="2"/>
  <c r="AJ8" i="2"/>
  <c r="AJ30" i="2"/>
  <c r="AJ31" i="2"/>
  <c r="AJ29" i="2"/>
  <c r="AI38" i="2"/>
  <c r="AI37" i="2"/>
  <c r="AK4" i="2"/>
  <c r="AK30" i="2"/>
  <c r="AK31" i="2"/>
  <c r="AJ35" i="2"/>
  <c r="AI39" i="2"/>
  <c r="AJ32" i="2"/>
  <c r="AJ51" i="2"/>
  <c r="AK32" i="2"/>
  <c r="AK51" i="2"/>
  <c r="AI43" i="2"/>
  <c r="AI52" i="2"/>
  <c r="AK8" i="2"/>
  <c r="AJ37" i="2"/>
  <c r="AL4" i="2"/>
  <c r="AL8" i="2"/>
  <c r="AK35" i="2"/>
  <c r="AK7" i="2"/>
  <c r="AK29" i="2"/>
  <c r="AJ38" i="2"/>
  <c r="AJ36" i="2"/>
  <c r="AK9" i="2"/>
  <c r="AJ43" i="2"/>
  <c r="AK36" i="2"/>
  <c r="AJ39" i="2"/>
  <c r="AL30" i="2"/>
  <c r="AL31" i="2"/>
  <c r="AL9" i="2"/>
  <c r="AK37" i="2"/>
  <c r="AJ52" i="2"/>
  <c r="AM4" i="2"/>
  <c r="AM30" i="2"/>
  <c r="AM31" i="2"/>
  <c r="AL35" i="2"/>
  <c r="AK38" i="2"/>
  <c r="AL7" i="2"/>
  <c r="AL29" i="2"/>
  <c r="AK43" i="2"/>
  <c r="AL32" i="2"/>
  <c r="AL51" i="2"/>
  <c r="AM32" i="2"/>
  <c r="AM51" i="2"/>
  <c r="AK39" i="2"/>
  <c r="AK52" i="2"/>
  <c r="AL36" i="2"/>
  <c r="AL38" i="2"/>
  <c r="AL37" i="2"/>
  <c r="AN4" i="2"/>
  <c r="AN29" i="2"/>
  <c r="AM35" i="2"/>
  <c r="AM8" i="2"/>
  <c r="AM7" i="2"/>
  <c r="AM29" i="2"/>
  <c r="AM9" i="2"/>
  <c r="AL43" i="2"/>
  <c r="AM37" i="2"/>
  <c r="AL39" i="2"/>
  <c r="AL52" i="2"/>
  <c r="AN7" i="2"/>
  <c r="AN9" i="2"/>
  <c r="AN8" i="2"/>
  <c r="AN30" i="2"/>
  <c r="AN31" i="2"/>
  <c r="AM38" i="2"/>
  <c r="AM36" i="2"/>
  <c r="AO4" i="2"/>
  <c r="AO29" i="2"/>
  <c r="AN35" i="2"/>
  <c r="AN38" i="2"/>
  <c r="AM43" i="2"/>
  <c r="AM39" i="2"/>
  <c r="AN32" i="2"/>
  <c r="AN51" i="2"/>
  <c r="AO9" i="2"/>
  <c r="AN36" i="2"/>
  <c r="AM52" i="2"/>
  <c r="AO7" i="2"/>
  <c r="AN37" i="2"/>
  <c r="AO30" i="2"/>
  <c r="AO31" i="2"/>
  <c r="AO8" i="2"/>
  <c r="AP4" i="2"/>
  <c r="AP9" i="2"/>
  <c r="AO35" i="2"/>
  <c r="AN43" i="2"/>
  <c r="AO32" i="2"/>
  <c r="AO51" i="2"/>
  <c r="AN39" i="2"/>
  <c r="AN52" i="2"/>
  <c r="AO38" i="2"/>
  <c r="AO43" i="2"/>
  <c r="AP7" i="2"/>
  <c r="AO36" i="2"/>
  <c r="AQ4" i="2"/>
  <c r="AQ7" i="2"/>
  <c r="AP35" i="2"/>
  <c r="AO37" i="2"/>
  <c r="AP30" i="2"/>
  <c r="AP31" i="2"/>
  <c r="AP8" i="2"/>
  <c r="AP29" i="2"/>
  <c r="AP43" i="2"/>
  <c r="AO39" i="2"/>
  <c r="AO52" i="2"/>
  <c r="AP32" i="2"/>
  <c r="AP51" i="2"/>
  <c r="AP38" i="2"/>
  <c r="AP36" i="2"/>
  <c r="AP37" i="2"/>
  <c r="AQ9" i="2"/>
  <c r="AQ8" i="2"/>
  <c r="AQ30" i="2"/>
  <c r="AQ31" i="2"/>
  <c r="AQ29" i="2"/>
  <c r="AR4" i="2"/>
  <c r="AQ35" i="2"/>
  <c r="AQ43" i="2"/>
  <c r="AQ32" i="2"/>
  <c r="AQ51" i="2"/>
  <c r="AP39" i="2"/>
  <c r="AP52" i="2"/>
  <c r="AQ36" i="2"/>
  <c r="AS4" i="2"/>
  <c r="AS9" i="2"/>
  <c r="AR35" i="2"/>
  <c r="AR30" i="2"/>
  <c r="AR31" i="2"/>
  <c r="AR9" i="2"/>
  <c r="AQ37" i="2"/>
  <c r="AR7" i="2"/>
  <c r="AR8" i="2"/>
  <c r="AQ38" i="2"/>
  <c r="AR29" i="2"/>
  <c r="AS8" i="2"/>
  <c r="AR32" i="2"/>
  <c r="AR51" i="2"/>
  <c r="AQ39" i="2"/>
  <c r="AQ52" i="2"/>
  <c r="AR37" i="2"/>
  <c r="AR36" i="2"/>
  <c r="AS29" i="2"/>
  <c r="AS30" i="2"/>
  <c r="AS31" i="2"/>
  <c r="AS7" i="2"/>
  <c r="AS43" i="2"/>
  <c r="AR38" i="2"/>
  <c r="AR43" i="2"/>
  <c r="AT4" i="2"/>
  <c r="AT29" i="2"/>
  <c r="AS35" i="2"/>
  <c r="AR39" i="2"/>
  <c r="AR52" i="2"/>
  <c r="AS32" i="2"/>
  <c r="AS51" i="2"/>
  <c r="AS37" i="2"/>
  <c r="AS38" i="2"/>
  <c r="AT9" i="2"/>
  <c r="AS36" i="2"/>
  <c r="AT30" i="2"/>
  <c r="AT31" i="2"/>
  <c r="AT8" i="2"/>
  <c r="AT7" i="2"/>
  <c r="AU4" i="2"/>
  <c r="AU8" i="2"/>
  <c r="AT35" i="2"/>
  <c r="AS39" i="2"/>
  <c r="AS52" i="2"/>
  <c r="AT32" i="2"/>
  <c r="AT51" i="2"/>
  <c r="AT38" i="2"/>
  <c r="AU9" i="2"/>
  <c r="AT43" i="2"/>
  <c r="AU30" i="2"/>
  <c r="AU31" i="2"/>
  <c r="AV4" i="2"/>
  <c r="AV9" i="2"/>
  <c r="AU35" i="2"/>
  <c r="AT37" i="2"/>
  <c r="AT36" i="2"/>
  <c r="AU7" i="2"/>
  <c r="AU29" i="2"/>
  <c r="AT39" i="2"/>
  <c r="AU43" i="2"/>
  <c r="AU32" i="2"/>
  <c r="AU51" i="2"/>
  <c r="AU37" i="2"/>
  <c r="AU36" i="2"/>
  <c r="AT52" i="2"/>
  <c r="AW4" i="2"/>
  <c r="AW9" i="2"/>
  <c r="AV35" i="2"/>
  <c r="AU38" i="2"/>
  <c r="AV30" i="2"/>
  <c r="AV31" i="2"/>
  <c r="AV8" i="2"/>
  <c r="AV7" i="2"/>
  <c r="AV29" i="2"/>
  <c r="AU39" i="2"/>
  <c r="AU52" i="2"/>
  <c r="AV32" i="2"/>
  <c r="AV51" i="2"/>
  <c r="AV36" i="2"/>
  <c r="AV37" i="2"/>
  <c r="AV38" i="2"/>
  <c r="AW30" i="2"/>
  <c r="AW31" i="2"/>
  <c r="AW29" i="2"/>
  <c r="AW8" i="2"/>
  <c r="AW7" i="2"/>
  <c r="AV43" i="2"/>
  <c r="AX4" i="2"/>
  <c r="AW35" i="2"/>
  <c r="AW32" i="2"/>
  <c r="AW51" i="2"/>
  <c r="AW43" i="2"/>
  <c r="AV39" i="2"/>
  <c r="AV52" i="2"/>
  <c r="AW37" i="2"/>
  <c r="AY4" i="2"/>
  <c r="AY9" i="2"/>
  <c r="AX35" i="2"/>
  <c r="AW36" i="2"/>
  <c r="AW38" i="2"/>
  <c r="AX9" i="2"/>
  <c r="AX30" i="2"/>
  <c r="AX31" i="2"/>
  <c r="AX8" i="2"/>
  <c r="AX7" i="2"/>
  <c r="AX29" i="2"/>
  <c r="AY8" i="2"/>
  <c r="AY30" i="2"/>
  <c r="AY31" i="2"/>
  <c r="AY32" i="2"/>
  <c r="AY51" i="2"/>
  <c r="AX32" i="2"/>
  <c r="AX51" i="2"/>
  <c r="AW39" i="2"/>
  <c r="AW52" i="2"/>
  <c r="AX36" i="2"/>
  <c r="AX37" i="2"/>
  <c r="AY29" i="2"/>
  <c r="AY7" i="2"/>
  <c r="AY43" i="2"/>
  <c r="AX38" i="2"/>
  <c r="AX43" i="2"/>
  <c r="AZ4" i="2"/>
  <c r="AY35" i="2"/>
  <c r="AX39" i="2"/>
  <c r="AX52" i="2"/>
  <c r="AY36" i="2"/>
  <c r="BA4" i="2"/>
  <c r="BA8" i="2"/>
  <c r="AZ35" i="2"/>
  <c r="AY38" i="2"/>
  <c r="AZ30" i="2"/>
  <c r="AZ31" i="2"/>
  <c r="AZ8" i="2"/>
  <c r="AY37" i="2"/>
  <c r="AY39" i="2"/>
  <c r="AZ9" i="2"/>
  <c r="AZ7" i="2"/>
  <c r="AZ29" i="2"/>
  <c r="BA29" i="2"/>
  <c r="BA30" i="2"/>
  <c r="BA31" i="2"/>
  <c r="BA7" i="2"/>
  <c r="BA9" i="2"/>
  <c r="AZ43" i="2"/>
  <c r="AZ32" i="2"/>
  <c r="AZ51" i="2"/>
  <c r="BA32" i="2"/>
  <c r="BA51" i="2"/>
  <c r="AZ37" i="2"/>
  <c r="AY52" i="2"/>
  <c r="AZ36" i="2"/>
  <c r="AZ38" i="2"/>
  <c r="BB4" i="2"/>
  <c r="BA35" i="2"/>
  <c r="BA43" i="2"/>
  <c r="AZ39" i="2"/>
  <c r="AZ52" i="2"/>
  <c r="BA38" i="2"/>
  <c r="BC4" i="2"/>
  <c r="BC9" i="2"/>
  <c r="BB35" i="2"/>
  <c r="BB30" i="2"/>
  <c r="BB31" i="2"/>
  <c r="BB8" i="2"/>
  <c r="BA37" i="2"/>
  <c r="BA36" i="2"/>
  <c r="BB9" i="2"/>
  <c r="BB7" i="2"/>
  <c r="BB29" i="2"/>
  <c r="BC30" i="2"/>
  <c r="BC31" i="2"/>
  <c r="BC32" i="2"/>
  <c r="BC51" i="2"/>
  <c r="BC29" i="2"/>
  <c r="BC8" i="2"/>
  <c r="BC7" i="2"/>
  <c r="BB43" i="2"/>
  <c r="BB32" i="2"/>
  <c r="BB51" i="2"/>
  <c r="BB36" i="2"/>
  <c r="BA39" i="2"/>
  <c r="BA52" i="2"/>
  <c r="BB38" i="2"/>
  <c r="BB37" i="2"/>
  <c r="BD4" i="2"/>
  <c r="BC35" i="2"/>
  <c r="BC43" i="2"/>
  <c r="BB39" i="2"/>
  <c r="BB52" i="2"/>
  <c r="BC37" i="2"/>
  <c r="BE4" i="2"/>
  <c r="BE8" i="2"/>
  <c r="BD35" i="2"/>
  <c r="BC36" i="2"/>
  <c r="BD30" i="2"/>
  <c r="BD31" i="2"/>
  <c r="BD8" i="2"/>
  <c r="BC38" i="2"/>
  <c r="BD9" i="2"/>
  <c r="BD7" i="2"/>
  <c r="BD29" i="2"/>
  <c r="BE29" i="2"/>
  <c r="BE30" i="2"/>
  <c r="BE31" i="2"/>
  <c r="BE32" i="2"/>
  <c r="BE51" i="2"/>
  <c r="BE7" i="2"/>
  <c r="BE9" i="2"/>
  <c r="BC39" i="2"/>
  <c r="BD32" i="2"/>
  <c r="BD51" i="2"/>
  <c r="BD43" i="2"/>
  <c r="BC52" i="2"/>
  <c r="BD36" i="2"/>
  <c r="BD37" i="2"/>
  <c r="BD38" i="2"/>
  <c r="BE43" i="2"/>
  <c r="BF4" i="2"/>
  <c r="BF29" i="2"/>
  <c r="BE35" i="2"/>
  <c r="BD39" i="2"/>
  <c r="BD52" i="2"/>
  <c r="BE36" i="2"/>
  <c r="BF9" i="2"/>
  <c r="BE38" i="2"/>
  <c r="BE37" i="2"/>
  <c r="BF30" i="2"/>
  <c r="BF31" i="2"/>
  <c r="BF8" i="2"/>
  <c r="BF7" i="2"/>
  <c r="BG4" i="2"/>
  <c r="BG29" i="2"/>
  <c r="BF35" i="2"/>
  <c r="BE39" i="2"/>
  <c r="BE52" i="2"/>
  <c r="BF32" i="2"/>
  <c r="BF51" i="2"/>
  <c r="BF38" i="2"/>
  <c r="BG7" i="2"/>
  <c r="BF36" i="2"/>
  <c r="BF37" i="2"/>
  <c r="BH4" i="2"/>
  <c r="BH9" i="2"/>
  <c r="BG35" i="2"/>
  <c r="BG9" i="2"/>
  <c r="BG30" i="2"/>
  <c r="BG31" i="2"/>
  <c r="BG8" i="2"/>
  <c r="BF43" i="2"/>
  <c r="BG32" i="2"/>
  <c r="BG51" i="2"/>
  <c r="BF39" i="2"/>
  <c r="BF52" i="2"/>
  <c r="BG36" i="2"/>
  <c r="BH30" i="2"/>
  <c r="BH31" i="2"/>
  <c r="BH8" i="2"/>
  <c r="BH7" i="2"/>
  <c r="BH29" i="2"/>
  <c r="BG37" i="2"/>
  <c r="BG38" i="2"/>
  <c r="BG43" i="2"/>
  <c r="BI4" i="2"/>
  <c r="BH35" i="2"/>
  <c r="BH43" i="2"/>
  <c r="BG39" i="2"/>
  <c r="BG52" i="2"/>
  <c r="BH32" i="2"/>
  <c r="BH51" i="2"/>
  <c r="BH36" i="2"/>
  <c r="BJ4" i="2"/>
  <c r="BJ9" i="2"/>
  <c r="BI35" i="2"/>
  <c r="BH38" i="2"/>
  <c r="BH37" i="2"/>
  <c r="BI9" i="2"/>
  <c r="BI30" i="2"/>
  <c r="BI31" i="2"/>
  <c r="BI8" i="2"/>
  <c r="BI7" i="2"/>
  <c r="BI29" i="2"/>
  <c r="BJ29" i="2"/>
  <c r="BJ8" i="2"/>
  <c r="BJ7" i="2"/>
  <c r="BJ30" i="2"/>
  <c r="BJ31" i="2"/>
  <c r="BH39" i="2"/>
  <c r="BI32" i="2"/>
  <c r="BI51" i="2"/>
  <c r="BJ32" i="2"/>
  <c r="BJ51" i="2"/>
  <c r="BI37" i="2"/>
  <c r="BI43" i="2"/>
  <c r="BH52" i="2"/>
  <c r="BI38" i="2"/>
  <c r="BI36" i="2"/>
  <c r="BJ43" i="2"/>
  <c r="BK4" i="2"/>
  <c r="BJ35" i="2"/>
  <c r="BI39" i="2"/>
  <c r="BI52" i="2"/>
  <c r="BJ37" i="2"/>
  <c r="BJ36" i="2"/>
  <c r="BL4" i="2"/>
  <c r="BL35" i="2"/>
  <c r="BK35" i="2"/>
  <c r="BK30" i="2"/>
  <c r="BK31" i="2"/>
  <c r="BK7" i="2"/>
  <c r="BK8" i="2"/>
  <c r="BJ38" i="2"/>
  <c r="BK9" i="2"/>
  <c r="BK29" i="2"/>
  <c r="BL30" i="2"/>
  <c r="BL31" i="2"/>
  <c r="BL32" i="2"/>
  <c r="BL51" i="2"/>
  <c r="F36" i="3"/>
  <c r="G36" i="3"/>
  <c r="H36" i="3"/>
  <c r="I36" i="3"/>
  <c r="J36" i="3"/>
  <c r="F31" i="3"/>
  <c r="F33" i="3"/>
  <c r="G31" i="3"/>
  <c r="G33" i="3"/>
  <c r="H31" i="3"/>
  <c r="H33" i="3"/>
  <c r="I31" i="3"/>
  <c r="I33" i="3"/>
  <c r="J31" i="3"/>
  <c r="J33" i="3"/>
  <c r="BJ39" i="2"/>
  <c r="BJ52" i="2"/>
  <c r="BK32" i="2"/>
  <c r="BK51" i="2"/>
  <c r="BK37" i="2"/>
  <c r="BK38" i="2"/>
  <c r="BL7" i="2"/>
  <c r="BL29" i="2"/>
  <c r="BK36" i="2"/>
  <c r="BL9" i="2"/>
  <c r="BL8" i="2"/>
  <c r="BK43" i="2"/>
  <c r="BL37" i="2"/>
  <c r="BL36" i="2"/>
  <c r="BL38" i="2"/>
  <c r="G8" i="3"/>
  <c r="H8" i="3"/>
  <c r="I8" i="3"/>
  <c r="J8" i="3"/>
  <c r="F37" i="3"/>
  <c r="G37" i="3"/>
  <c r="H37" i="3"/>
  <c r="I37" i="3"/>
  <c r="J37" i="3"/>
  <c r="F39" i="3"/>
  <c r="G39" i="3"/>
  <c r="H39" i="3"/>
  <c r="I39" i="3"/>
  <c r="J39" i="3"/>
  <c r="G9" i="3"/>
  <c r="H9" i="3"/>
  <c r="I9" i="3"/>
  <c r="J9" i="3"/>
  <c r="F38" i="3"/>
  <c r="F40" i="3"/>
  <c r="G38" i="3"/>
  <c r="H38" i="3"/>
  <c r="I38" i="3"/>
  <c r="J38" i="3"/>
  <c r="J40" i="3"/>
  <c r="G10" i="3"/>
  <c r="H10" i="3"/>
  <c r="I10" i="3"/>
  <c r="J10" i="3"/>
  <c r="G40" i="3"/>
  <c r="G7" i="3"/>
  <c r="H7" i="3"/>
  <c r="I7" i="3"/>
  <c r="J7" i="3"/>
  <c r="BL39" i="2"/>
  <c r="BL52" i="2"/>
  <c r="BK39" i="2"/>
  <c r="BK52" i="2"/>
  <c r="BL43" i="2"/>
  <c r="D46" i="2"/>
  <c r="D45" i="2"/>
  <c r="G55" i="1"/>
  <c r="D47" i="2"/>
  <c r="I40" i="3"/>
  <c r="H40" i="3"/>
  <c r="F43" i="1"/>
  <c r="F45" i="1"/>
  <c r="K45" i="1"/>
  <c r="K44" i="1"/>
  <c r="D54" i="2"/>
  <c r="G56" i="1"/>
  <c r="D55" i="2"/>
  <c r="F52" i="1"/>
  <c r="D56" i="2"/>
  <c r="D48" i="2"/>
  <c r="D44" i="2"/>
  <c r="G57" i="1"/>
  <c r="K46" i="1"/>
  <c r="D57" i="2"/>
  <c r="K49" i="1"/>
  <c r="K52" i="1"/>
  <c r="K48" i="1"/>
  <c r="D53" i="2"/>
  <c r="G58" i="1"/>
</calcChain>
</file>

<file path=xl/sharedStrings.xml><?xml version="1.0" encoding="utf-8"?>
<sst xmlns="http://schemas.openxmlformats.org/spreadsheetml/2006/main" count="183" uniqueCount="155">
  <si>
    <t>Inputs</t>
  </si>
  <si>
    <t>Property:</t>
  </si>
  <si>
    <t>123 Main Street</t>
  </si>
  <si>
    <t>Property City:</t>
  </si>
  <si>
    <t>Springfield</t>
  </si>
  <si>
    <t>Property Address:</t>
  </si>
  <si>
    <t>Earl's Court</t>
  </si>
  <si>
    <t>Purchase:</t>
  </si>
  <si>
    <t>Months to Renovate:</t>
  </si>
  <si>
    <t>Hold Period (months):</t>
  </si>
  <si>
    <t>Sale time (months):</t>
  </si>
  <si>
    <t>Construction Budget:</t>
  </si>
  <si>
    <t>Property Tax (monthly):</t>
  </si>
  <si>
    <t>Insurance (monthly):</t>
  </si>
  <si>
    <t>Acquisition:</t>
  </si>
  <si>
    <t>Purchase Price:</t>
  </si>
  <si>
    <t>Closing Costs (%):</t>
  </si>
  <si>
    <t>Due Diligence Costs:</t>
  </si>
  <si>
    <t>Disposition:</t>
  </si>
  <si>
    <t>Sales Price:</t>
  </si>
  <si>
    <t>Broker Commission (%):</t>
  </si>
  <si>
    <t>Other Sales Costs (%):</t>
  </si>
  <si>
    <t>Financing:</t>
  </si>
  <si>
    <t>Loan Amount:</t>
  </si>
  <si>
    <t>LTV:</t>
  </si>
  <si>
    <t>Mortgage Interest Rate:</t>
  </si>
  <si>
    <t>Mortgage Term (Years):</t>
  </si>
  <si>
    <t>Interest-Only?</t>
  </si>
  <si>
    <t>Monthly Payment:</t>
  </si>
  <si>
    <t>Investment Period:</t>
  </si>
  <si>
    <t>Sale Date (estimated):</t>
  </si>
  <si>
    <t>Rental Operation:</t>
  </si>
  <si>
    <t>Monthly Rental Rate:</t>
  </si>
  <si>
    <t>Operating Expenses (monthly):</t>
  </si>
  <si>
    <t>Property Management Fee (%):</t>
  </si>
  <si>
    <t>Days Vacant Per Year:</t>
  </si>
  <si>
    <t>Vacancy (%):</t>
  </si>
  <si>
    <t>Provision (% of Income):</t>
  </si>
  <si>
    <t>Income Growth (%):</t>
  </si>
  <si>
    <t>Annual Expense Growth (%):</t>
  </si>
  <si>
    <t>Construction Budget</t>
  </si>
  <si>
    <t>Description:</t>
  </si>
  <si>
    <t>General Requirements:</t>
  </si>
  <si>
    <t>Site Preparation:</t>
  </si>
  <si>
    <t>Water/Sewer:</t>
  </si>
  <si>
    <t>Utilities:</t>
  </si>
  <si>
    <t>Excavation/landscaping:</t>
  </si>
  <si>
    <t>Foundation:</t>
  </si>
  <si>
    <t>Masonry/Paving:</t>
  </si>
  <si>
    <t>Rough Framing:</t>
  </si>
  <si>
    <t>Roofing:</t>
  </si>
  <si>
    <t>Exterior Walls (Siding, Trim, Paint, Etc.):</t>
  </si>
  <si>
    <t>Windows/Exterior Doors:</t>
  </si>
  <si>
    <t>Plumbing:</t>
  </si>
  <si>
    <t>Electrical:</t>
  </si>
  <si>
    <t>HVAC:</t>
  </si>
  <si>
    <t>Insulation:</t>
  </si>
  <si>
    <t>Drywall/Plaster:</t>
  </si>
  <si>
    <t>Interior Finish:</t>
  </si>
  <si>
    <t>Kitchen/Bath:</t>
  </si>
  <si>
    <t>Porches/Decks:</t>
  </si>
  <si>
    <t>Appliances:</t>
  </si>
  <si>
    <t>Vendor:</t>
  </si>
  <si>
    <t>[name A]</t>
  </si>
  <si>
    <t>[name B]</t>
  </si>
  <si>
    <t>[name C]</t>
  </si>
  <si>
    <t>Estimated Cost:</t>
  </si>
  <si>
    <t>Total:</t>
  </si>
  <si>
    <t>&lt;Other&gt;:</t>
  </si>
  <si>
    <t>[name D]</t>
  </si>
  <si>
    <t>[name E]</t>
  </si>
  <si>
    <t>etc</t>
  </si>
  <si>
    <t>Preliminary Budget Total:</t>
  </si>
  <si>
    <t>Month Ending</t>
  </si>
  <si>
    <t>Acquisition</t>
  </si>
  <si>
    <t>Purchase Price</t>
  </si>
  <si>
    <t>Closing Costs</t>
  </si>
  <si>
    <t>Due Diligence</t>
  </si>
  <si>
    <t>Rental Income</t>
  </si>
  <si>
    <t>Operations</t>
  </si>
  <si>
    <t>Vacancy/Credit Loss</t>
  </si>
  <si>
    <t>Year</t>
  </si>
  <si>
    <t xml:space="preserve">Month </t>
  </si>
  <si>
    <t>Gross Revenue (Effective)</t>
  </si>
  <si>
    <t>Property Tax</t>
  </si>
  <si>
    <t>Insurance</t>
  </si>
  <si>
    <t>Operating Expenses</t>
  </si>
  <si>
    <t>Property Management</t>
  </si>
  <si>
    <t>Total Operating Expenses</t>
  </si>
  <si>
    <t>Net Operating Income</t>
  </si>
  <si>
    <t>Renovation</t>
  </si>
  <si>
    <t>Cashflow (Unlevered)</t>
  </si>
  <si>
    <t>Financing</t>
  </si>
  <si>
    <t>Debt Service</t>
  </si>
  <si>
    <t>Cashflow (Levered)</t>
  </si>
  <si>
    <t>Sale</t>
  </si>
  <si>
    <t>Sales Price</t>
  </si>
  <si>
    <t>Broker Commission</t>
  </si>
  <si>
    <t>Other Closing Costs</t>
  </si>
  <si>
    <t>Loan Payoff</t>
  </si>
  <si>
    <t>Net Proceeds from Sale</t>
  </si>
  <si>
    <t>Unlevered Returns</t>
  </si>
  <si>
    <t>ROI (Monthly)</t>
  </si>
  <si>
    <t>Strategy</t>
  </si>
  <si>
    <t>Provision</t>
  </si>
  <si>
    <t>Hold</t>
  </si>
  <si>
    <t>Loan Drawdown</t>
  </si>
  <si>
    <t>No</t>
  </si>
  <si>
    <t>Unlevered Cashflow</t>
  </si>
  <si>
    <t>Unlevered Equity Multiple</t>
  </si>
  <si>
    <t>Unlevered IRR</t>
  </si>
  <si>
    <t>Equity Required</t>
  </si>
  <si>
    <t>Equity Increase (Unlevered)</t>
  </si>
  <si>
    <t>Equity at Sale</t>
  </si>
  <si>
    <t>Levered Returns</t>
  </si>
  <si>
    <t>Levered Cashflow</t>
  </si>
  <si>
    <t>Levered Equity Multiple</t>
  </si>
  <si>
    <t>Levered IRR</t>
  </si>
  <si>
    <t>Equity Increase (Levered)</t>
  </si>
  <si>
    <t>Proforma</t>
  </si>
  <si>
    <t>Loan Proceeds (Net)</t>
  </si>
  <si>
    <t>Equity at Closing</t>
  </si>
  <si>
    <t>Year Ending</t>
  </si>
  <si>
    <t>Operation</t>
  </si>
  <si>
    <t>Gross Income (Effective)</t>
  </si>
  <si>
    <t xml:space="preserve">Operating Expense </t>
  </si>
  <si>
    <t>Net Cashflow before Debt</t>
  </si>
  <si>
    <t>Outstanding Loan Balance</t>
  </si>
  <si>
    <t>Net Cashflow after Debt Servicing</t>
  </si>
  <si>
    <t>Summary</t>
  </si>
  <si>
    <t>Property Name</t>
  </si>
  <si>
    <t>Purchase Date</t>
  </si>
  <si>
    <t>Renovation Timeline</t>
  </si>
  <si>
    <t>Sale Date (Estimated)</t>
  </si>
  <si>
    <t>Investment Period</t>
  </si>
  <si>
    <t>Purchase Costs</t>
  </si>
  <si>
    <t>Loan Amount</t>
  </si>
  <si>
    <t>Equity Required at Closing</t>
  </si>
  <si>
    <t>Renovation Budget</t>
  </si>
  <si>
    <t>Carrying Costs</t>
  </si>
  <si>
    <t>Total Equity Required</t>
  </si>
  <si>
    <t>Returns</t>
  </si>
  <si>
    <t>Unlevered IRR (Without Debt)</t>
  </si>
  <si>
    <t>Levered IRR (With Debt)</t>
  </si>
  <si>
    <t>Increase in Equity without Debt</t>
  </si>
  <si>
    <t>Increase in Equity with Debt</t>
  </si>
  <si>
    <t>Estimated Sales Price</t>
  </si>
  <si>
    <t>Broker Commission + Closing Costs</t>
  </si>
  <si>
    <t>Net Rental Income</t>
  </si>
  <si>
    <t>Net Equity Gain from Investment</t>
  </si>
  <si>
    <t>Net Equity at Sale</t>
  </si>
  <si>
    <t>Insert House Picture</t>
  </si>
  <si>
    <t>Created by Cameron Andrews</t>
  </si>
  <si>
    <t>www.LotusGlobalAssets.com</t>
  </si>
  <si>
    <r>
      <t xml:space="preserve">This model will help underwrite investment of a single family residential home. 
The out of the box version allows for purchase, renovation, renting, and sale.
</t>
    </r>
    <r>
      <rPr>
        <b/>
        <sz val="10"/>
        <rFont val="Calibri"/>
        <family val="2"/>
      </rPr>
      <t>Notes:</t>
    </r>
    <r>
      <rPr>
        <sz val="10"/>
        <rFont val="Calibri"/>
        <family val="2"/>
        <scheme val="minor"/>
      </rPr>
      <t xml:space="preserve">
- Purchase date is the date of deal closure, rather than purchase in principle
- Loan assumes no pre-payment, and is a fixed-rate loan
- Includes named cells for ease of reference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</si>
</sst>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* #,##0_-;\-* #,##0_-;_-* &quot;-&quot;??_-;_-@_-"/>
    <numFmt numFmtId="165" formatCode="0.00\x"/>
    <numFmt numFmtId="166" formatCode="dd\-mmm\-yyyy"/>
    <numFmt numFmtId="167" formatCode="#,##0;\(#,##0\)"/>
    <numFmt numFmtId="168" formatCode="#,##0;\(#,##0\)\,\-"/>
    <numFmt numFmtId="169" formatCode="#,##0;\(#,##0\);\-"/>
    <numFmt numFmtId="170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color theme="0" tint="-0.34998626667073579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b/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/>
      <right/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90">
    <xf numFmtId="0" fontId="0" fillId="0" borderId="0" xfId="0"/>
    <xf numFmtId="0" fontId="0" fillId="2" borderId="0" xfId="0" applyFill="1"/>
    <xf numFmtId="0" fontId="0" fillId="0" borderId="0" xfId="0" applyFill="1" applyBorder="1"/>
    <xf numFmtId="14" fontId="0" fillId="0" borderId="0" xfId="0" applyNumberFormat="1" applyFill="1" applyBorder="1"/>
    <xf numFmtId="0" fontId="2" fillId="0" borderId="0" xfId="0" applyFont="1" applyFill="1" applyBorder="1"/>
    <xf numFmtId="10" fontId="0" fillId="0" borderId="0" xfId="0" applyNumberFormat="1" applyFill="1" applyBorder="1"/>
    <xf numFmtId="43" fontId="0" fillId="0" borderId="0" xfId="1" applyNumberFormat="1" applyFont="1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2" fillId="0" borderId="4" xfId="0" applyFont="1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3" fillId="0" borderId="0" xfId="0" applyFont="1" applyFill="1" applyBorder="1"/>
    <xf numFmtId="14" fontId="3" fillId="0" borderId="0" xfId="0" applyNumberFormat="1" applyFont="1" applyFill="1" applyBorder="1"/>
    <xf numFmtId="10" fontId="3" fillId="0" borderId="0" xfId="0" applyNumberFormat="1" applyFont="1" applyFill="1" applyBorder="1"/>
    <xf numFmtId="9" fontId="3" fillId="0" borderId="0" xfId="0" applyNumberFormat="1" applyFont="1" applyFill="1" applyBorder="1"/>
    <xf numFmtId="164" fontId="3" fillId="0" borderId="0" xfId="1" applyNumberFormat="1" applyFont="1" applyFill="1" applyBorder="1"/>
    <xf numFmtId="0" fontId="2" fillId="0" borderId="1" xfId="0" applyFont="1" applyFill="1" applyBorder="1"/>
    <xf numFmtId="0" fontId="0" fillId="0" borderId="4" xfId="0" applyFont="1" applyFill="1" applyBorder="1"/>
    <xf numFmtId="0" fontId="4" fillId="0" borderId="0" xfId="0" applyFont="1" applyFill="1" applyBorder="1"/>
    <xf numFmtId="9" fontId="3" fillId="0" borderId="5" xfId="0" applyNumberFormat="1" applyFont="1" applyFill="1" applyBorder="1"/>
    <xf numFmtId="10" fontId="3" fillId="0" borderId="5" xfId="0" applyNumberFormat="1" applyFont="1" applyFill="1" applyBorder="1"/>
    <xf numFmtId="0" fontId="3" fillId="0" borderId="5" xfId="0" applyFont="1" applyFill="1" applyBorder="1"/>
    <xf numFmtId="43" fontId="0" fillId="0" borderId="5" xfId="1" applyNumberFormat="1" applyFont="1" applyFill="1" applyBorder="1"/>
    <xf numFmtId="164" fontId="3" fillId="0" borderId="5" xfId="1" applyNumberFormat="1" applyFont="1" applyFill="1" applyBorder="1"/>
    <xf numFmtId="10" fontId="0" fillId="0" borderId="5" xfId="0" applyNumberFormat="1" applyFill="1" applyBorder="1"/>
    <xf numFmtId="0" fontId="2" fillId="0" borderId="3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5" fillId="3" borderId="9" xfId="0" applyFont="1" applyFill="1" applyBorder="1"/>
    <xf numFmtId="0" fontId="0" fillId="3" borderId="10" xfId="0" applyFill="1" applyBorder="1"/>
    <xf numFmtId="0" fontId="3" fillId="3" borderId="10" xfId="0" applyFont="1" applyFill="1" applyBorder="1"/>
    <xf numFmtId="164" fontId="3" fillId="3" borderId="11" xfId="1" applyNumberFormat="1" applyFont="1" applyFill="1" applyBorder="1"/>
    <xf numFmtId="14" fontId="0" fillId="0" borderId="0" xfId="0" applyNumberFormat="1"/>
    <xf numFmtId="0" fontId="0" fillId="0" borderId="0" xfId="0" applyAlignment="1">
      <alignment horizontal="left" inden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left"/>
    </xf>
    <xf numFmtId="10" fontId="0" fillId="0" borderId="0" xfId="2" applyNumberFormat="1" applyFont="1"/>
    <xf numFmtId="165" fontId="0" fillId="0" borderId="0" xfId="0" applyNumberFormat="1"/>
    <xf numFmtId="0" fontId="0" fillId="0" borderId="0" xfId="0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/>
    <xf numFmtId="166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/>
    <xf numFmtId="0" fontId="0" fillId="0" borderId="3" xfId="0" applyFill="1" applyBorder="1" applyAlignment="1">
      <alignment horizontal="right"/>
    </xf>
    <xf numFmtId="0" fontId="0" fillId="0" borderId="5" xfId="0" applyFill="1" applyBorder="1" applyAlignment="1">
      <alignment horizontal="right"/>
    </xf>
    <xf numFmtId="167" fontId="3" fillId="0" borderId="0" xfId="0" applyNumberFormat="1" applyFont="1" applyFill="1" applyBorder="1"/>
    <xf numFmtId="167" fontId="6" fillId="0" borderId="0" xfId="0" applyNumberFormat="1" applyFont="1" applyFill="1" applyBorder="1"/>
    <xf numFmtId="168" fontId="3" fillId="0" borderId="0" xfId="0" applyNumberFormat="1" applyFont="1" applyFill="1" applyBorder="1"/>
    <xf numFmtId="169" fontId="3" fillId="0" borderId="0" xfId="0" applyNumberFormat="1" applyFont="1" applyFill="1" applyBorder="1"/>
    <xf numFmtId="167" fontId="7" fillId="0" borderId="0" xfId="0" applyNumberFormat="1" applyFont="1" applyFill="1" applyBorder="1"/>
    <xf numFmtId="169" fontId="6" fillId="0" borderId="0" xfId="0" applyNumberFormat="1" applyFont="1" applyFill="1" applyBorder="1"/>
    <xf numFmtId="169" fontId="7" fillId="0" borderId="0" xfId="0" applyNumberFormat="1" applyFont="1" applyFill="1" applyBorder="1"/>
    <xf numFmtId="169" fontId="7" fillId="0" borderId="12" xfId="0" applyNumberFormat="1" applyFont="1" applyFill="1" applyBorder="1"/>
    <xf numFmtId="0" fontId="0" fillId="4" borderId="0" xfId="0" applyFill="1"/>
    <xf numFmtId="0" fontId="0" fillId="0" borderId="0" xfId="0" applyFill="1" applyBorder="1" applyAlignment="1">
      <alignment horizontal="center"/>
    </xf>
    <xf numFmtId="166" fontId="0" fillId="0" borderId="0" xfId="0" applyNumberFormat="1" applyFill="1" applyBorder="1"/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left" indent="2"/>
    </xf>
    <xf numFmtId="0" fontId="2" fillId="0" borderId="0" xfId="0" applyFont="1" applyFill="1" applyBorder="1" applyAlignment="1">
      <alignment horizontal="left" indent="1"/>
    </xf>
    <xf numFmtId="0" fontId="2" fillId="0" borderId="0" xfId="0" applyFont="1" applyFill="1" applyBorder="1" applyAlignment="1">
      <alignment horizontal="left" indent="2"/>
    </xf>
    <xf numFmtId="170" fontId="3" fillId="0" borderId="0" xfId="0" applyNumberFormat="1" applyFont="1" applyFill="1" applyBorder="1"/>
    <xf numFmtId="0" fontId="10" fillId="2" borderId="0" xfId="0" applyFont="1" applyFill="1"/>
    <xf numFmtId="0" fontId="6" fillId="6" borderId="13" xfId="0" applyFont="1" applyFill="1" applyBorder="1"/>
    <xf numFmtId="0" fontId="6" fillId="6" borderId="14" xfId="0" applyFont="1" applyFill="1" applyBorder="1"/>
    <xf numFmtId="0" fontId="10" fillId="6" borderId="14" xfId="0" applyFont="1" applyFill="1" applyBorder="1"/>
    <xf numFmtId="0" fontId="10" fillId="6" borderId="15" xfId="0" applyFont="1" applyFill="1" applyBorder="1"/>
    <xf numFmtId="0" fontId="6" fillId="6" borderId="16" xfId="0" applyFont="1" applyFill="1" applyBorder="1"/>
    <xf numFmtId="0" fontId="6" fillId="6" borderId="0" xfId="0" applyFont="1" applyFill="1" applyBorder="1"/>
    <xf numFmtId="0" fontId="10" fillId="6" borderId="0" xfId="0" applyFont="1" applyFill="1" applyBorder="1"/>
    <xf numFmtId="0" fontId="10" fillId="6" borderId="17" xfId="0" applyFont="1" applyFill="1" applyBorder="1"/>
    <xf numFmtId="0" fontId="10" fillId="2" borderId="16" xfId="0" applyFont="1" applyFill="1" applyBorder="1"/>
    <xf numFmtId="0" fontId="10" fillId="2" borderId="0" xfId="0" applyFont="1" applyFill="1" applyBorder="1"/>
    <xf numFmtId="0" fontId="10" fillId="2" borderId="17" xfId="0" applyFont="1" applyFill="1" applyBorder="1"/>
    <xf numFmtId="0" fontId="10" fillId="0" borderId="16" xfId="0" applyFont="1" applyFill="1" applyBorder="1"/>
    <xf numFmtId="0" fontId="10" fillId="0" borderId="0" xfId="0" applyFont="1" applyFill="1" applyBorder="1"/>
    <xf numFmtId="0" fontId="10" fillId="0" borderId="17" xfId="0" applyFont="1" applyFill="1" applyBorder="1"/>
    <xf numFmtId="0" fontId="13" fillId="6" borderId="16" xfId="3" applyFont="1" applyFill="1" applyBorder="1"/>
    <xf numFmtId="0" fontId="11" fillId="6" borderId="16" xfId="0" applyFont="1" applyFill="1" applyBorder="1" applyAlignment="1">
      <alignment horizontal="left" vertical="top" wrapText="1"/>
    </xf>
    <xf numFmtId="0" fontId="11" fillId="6" borderId="0" xfId="0" applyFont="1" applyFill="1" applyBorder="1" applyAlignment="1">
      <alignment horizontal="left" vertical="top" wrapText="1"/>
    </xf>
    <xf numFmtId="0" fontId="11" fillId="6" borderId="17" xfId="0" applyFont="1" applyFill="1" applyBorder="1" applyAlignment="1">
      <alignment horizontal="left" vertical="top" wrapText="1"/>
    </xf>
    <xf numFmtId="0" fontId="11" fillId="6" borderId="18" xfId="0" applyFont="1" applyFill="1" applyBorder="1" applyAlignment="1">
      <alignment horizontal="left" vertical="top" wrapText="1"/>
    </xf>
    <xf numFmtId="0" fontId="11" fillId="6" borderId="19" xfId="0" applyFont="1" applyFill="1" applyBorder="1" applyAlignment="1">
      <alignment horizontal="left" vertical="top" wrapText="1"/>
    </xf>
    <xf numFmtId="0" fontId="11" fillId="6" borderId="20" xfId="0" applyFont="1" applyFill="1" applyBorder="1" applyAlignment="1">
      <alignment horizontal="left" vertical="top" wrapText="1"/>
    </xf>
    <xf numFmtId="0" fontId="8" fillId="5" borderId="0" xfId="0" applyFont="1" applyFill="1" applyBorder="1" applyAlignment="1">
      <alignment horizontal="center" vertic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33616</xdr:colOff>
      <xdr:row>1</xdr:row>
      <xdr:rowOff>56029</xdr:rowOff>
    </xdr:from>
    <xdr:to>
      <xdr:col>1</xdr:col>
      <xdr:colOff>559288</xdr:colOff>
      <xdr:row>3</xdr:row>
      <xdr:rowOff>173151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40" y="123264"/>
          <a:ext cx="525672" cy="4981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otusglobalasset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tabSelected="1" zoomScale="85" zoomScaleNormal="85" zoomScalePageLayoutView="85" workbookViewId="0">
      <selection activeCell="F4" sqref="F4"/>
    </sheetView>
  </sheetViews>
  <sheetFormatPr baseColWidth="10" defaultColWidth="0" defaultRowHeight="15" zeroHeight="1" x14ac:dyDescent="0.2"/>
  <cols>
    <col min="1" max="1" width="0.6640625" style="67" customWidth="1"/>
    <col min="2" max="2" width="9.1640625" style="76" customWidth="1"/>
    <col min="3" max="6" width="9.1640625" style="77" customWidth="1"/>
    <col min="7" max="7" width="9.1640625" style="78" customWidth="1"/>
    <col min="8" max="8" width="0.5" style="67" customWidth="1"/>
    <col min="9" max="16384" width="9.1640625" style="67" hidden="1"/>
  </cols>
  <sheetData>
    <row r="1" spans="2:7" ht="5.25" customHeight="1" thickBot="1" x14ac:dyDescent="0.25">
      <c r="B1" s="67"/>
      <c r="C1" s="67"/>
      <c r="D1" s="67"/>
      <c r="E1" s="67"/>
      <c r="F1" s="67"/>
      <c r="G1" s="67"/>
    </row>
    <row r="2" spans="2:7" x14ac:dyDescent="0.2">
      <c r="B2" s="68"/>
      <c r="C2" s="69"/>
      <c r="D2" s="69"/>
      <c r="E2" s="70"/>
      <c r="F2" s="70"/>
      <c r="G2" s="71"/>
    </row>
    <row r="3" spans="2:7" x14ac:dyDescent="0.2">
      <c r="B3" s="72"/>
      <c r="C3" s="73"/>
      <c r="D3" s="73"/>
      <c r="E3" s="74"/>
      <c r="F3" s="74"/>
      <c r="G3" s="75"/>
    </row>
    <row r="4" spans="2:7" x14ac:dyDescent="0.2">
      <c r="B4" s="72"/>
      <c r="C4" s="73"/>
      <c r="D4" s="73"/>
      <c r="E4" s="74"/>
      <c r="F4" s="74"/>
      <c r="G4" s="75"/>
    </row>
    <row r="5" spans="2:7" x14ac:dyDescent="0.2">
      <c r="B5" s="72" t="s">
        <v>152</v>
      </c>
      <c r="C5" s="73"/>
      <c r="D5" s="73"/>
      <c r="E5" s="74"/>
      <c r="F5" s="74"/>
      <c r="G5" s="75"/>
    </row>
    <row r="6" spans="2:7" ht="12" customHeight="1" x14ac:dyDescent="0.2">
      <c r="B6" s="82" t="s">
        <v>153</v>
      </c>
      <c r="C6" s="73"/>
      <c r="D6" s="73"/>
      <c r="E6" s="74"/>
      <c r="F6" s="74"/>
      <c r="G6" s="75"/>
    </row>
    <row r="7" spans="2:7" ht="6" customHeight="1" x14ac:dyDescent="0.2">
      <c r="B7" s="79"/>
      <c r="C7" s="80"/>
      <c r="D7" s="80"/>
      <c r="E7" s="80"/>
      <c r="F7" s="80"/>
      <c r="G7" s="81"/>
    </row>
    <row r="8" spans="2:7" ht="12" customHeight="1" x14ac:dyDescent="0.2">
      <c r="B8" s="83" t="s">
        <v>154</v>
      </c>
      <c r="C8" s="84"/>
      <c r="D8" s="84"/>
      <c r="E8" s="84"/>
      <c r="F8" s="84"/>
      <c r="G8" s="85"/>
    </row>
    <row r="9" spans="2:7" x14ac:dyDescent="0.2">
      <c r="B9" s="83"/>
      <c r="C9" s="84"/>
      <c r="D9" s="84"/>
      <c r="E9" s="84"/>
      <c r="F9" s="84"/>
      <c r="G9" s="85"/>
    </row>
    <row r="10" spans="2:7" x14ac:dyDescent="0.2">
      <c r="B10" s="83"/>
      <c r="C10" s="84"/>
      <c r="D10" s="84"/>
      <c r="E10" s="84"/>
      <c r="F10" s="84"/>
      <c r="G10" s="85"/>
    </row>
    <row r="11" spans="2:7" x14ac:dyDescent="0.2">
      <c r="B11" s="83"/>
      <c r="C11" s="84"/>
      <c r="D11" s="84"/>
      <c r="E11" s="84"/>
      <c r="F11" s="84"/>
      <c r="G11" s="85"/>
    </row>
    <row r="12" spans="2:7" x14ac:dyDescent="0.2">
      <c r="B12" s="83"/>
      <c r="C12" s="84"/>
      <c r="D12" s="84"/>
      <c r="E12" s="84"/>
      <c r="F12" s="84"/>
      <c r="G12" s="85"/>
    </row>
    <row r="13" spans="2:7" x14ac:dyDescent="0.2">
      <c r="B13" s="83"/>
      <c r="C13" s="84"/>
      <c r="D13" s="84"/>
      <c r="E13" s="84"/>
      <c r="F13" s="84"/>
      <c r="G13" s="85"/>
    </row>
    <row r="14" spans="2:7" x14ac:dyDescent="0.2">
      <c r="B14" s="83"/>
      <c r="C14" s="84"/>
      <c r="D14" s="84"/>
      <c r="E14" s="84"/>
      <c r="F14" s="84"/>
      <c r="G14" s="85"/>
    </row>
    <row r="15" spans="2:7" x14ac:dyDescent="0.2">
      <c r="B15" s="83"/>
      <c r="C15" s="84"/>
      <c r="D15" s="84"/>
      <c r="E15" s="84"/>
      <c r="F15" s="84"/>
      <c r="G15" s="85"/>
    </row>
    <row r="16" spans="2:7" x14ac:dyDescent="0.2">
      <c r="B16" s="83"/>
      <c r="C16" s="84"/>
      <c r="D16" s="84"/>
      <c r="E16" s="84"/>
      <c r="F16" s="84"/>
      <c r="G16" s="85"/>
    </row>
    <row r="17" spans="2:7" ht="16" thickBot="1" x14ac:dyDescent="0.25">
      <c r="B17" s="86"/>
      <c r="C17" s="87"/>
      <c r="D17" s="87"/>
      <c r="E17" s="87"/>
      <c r="F17" s="87"/>
      <c r="G17" s="88"/>
    </row>
    <row r="18" spans="2:7" hidden="1" x14ac:dyDescent="0.2"/>
    <row r="19" spans="2:7" hidden="1" x14ac:dyDescent="0.2"/>
    <row r="20" spans="2:7" hidden="1" x14ac:dyDescent="0.2"/>
    <row r="21" spans="2:7" hidden="1" x14ac:dyDescent="0.2"/>
    <row r="22" spans="2:7" hidden="1" x14ac:dyDescent="0.2"/>
  </sheetData>
  <sheetProtection password="95C9" sheet="1" objects="1" scenarios="1"/>
  <mergeCells count="1">
    <mergeCell ref="B8:G17"/>
  </mergeCells>
  <hyperlinks>
    <hyperlink ref="B6" r:id="rId1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7"/>
  <sheetViews>
    <sheetView showGridLines="0" zoomScale="85" zoomScaleNormal="85" zoomScalePageLayoutView="85" workbookViewId="0">
      <selection activeCell="C3" sqref="C3"/>
    </sheetView>
  </sheetViews>
  <sheetFormatPr baseColWidth="10" defaultColWidth="0" defaultRowHeight="15" zeroHeight="1" x14ac:dyDescent="0.2"/>
  <cols>
    <col min="1" max="1" width="9.1640625" style="1" customWidth="1"/>
    <col min="2" max="2" width="2.1640625" style="1" customWidth="1"/>
    <col min="3" max="5" width="9.1640625" style="1" customWidth="1"/>
    <col min="6" max="6" width="13.5" style="1" bestFit="1" customWidth="1"/>
    <col min="7" max="10" width="9.1640625" style="1" customWidth="1"/>
    <col min="11" max="11" width="10.1640625" style="1" customWidth="1"/>
    <col min="12" max="12" width="9.83203125" style="1" bestFit="1" customWidth="1"/>
    <col min="13" max="13" width="2.33203125" style="1" customWidth="1"/>
    <col min="14" max="14" width="3.1640625" style="1" customWidth="1"/>
    <col min="15" max="15" width="3.83203125" style="1" customWidth="1"/>
    <col min="16" max="16" width="2.83203125" style="1" customWidth="1"/>
    <col min="17" max="17" width="3.83203125" style="1" customWidth="1"/>
    <col min="18" max="24" width="9.1640625" style="1" customWidth="1"/>
    <col min="25" max="25" width="12.83203125" style="1" bestFit="1" customWidth="1"/>
    <col min="26" max="26" width="2.5" style="1" customWidth="1"/>
    <col min="27" max="32" width="9.1640625" style="1" customWidth="1"/>
    <col min="33" max="16384" width="9.1640625" style="1" hidden="1"/>
  </cols>
  <sheetData>
    <row r="1" spans="3:26" ht="16" thickBot="1" x14ac:dyDescent="0.25"/>
    <row r="2" spans="3:26" ht="16" thickTop="1" x14ac:dyDescent="0.2">
      <c r="C2" s="20" t="s">
        <v>0</v>
      </c>
      <c r="D2" s="7"/>
      <c r="E2" s="7"/>
      <c r="F2" s="7"/>
      <c r="G2" s="7"/>
      <c r="H2" s="7"/>
      <c r="I2" s="7"/>
      <c r="J2" s="7"/>
      <c r="K2" s="7"/>
      <c r="L2" s="7"/>
      <c r="M2" s="8"/>
      <c r="Q2" s="20" t="s">
        <v>40</v>
      </c>
      <c r="R2" s="7"/>
      <c r="S2" s="7"/>
      <c r="T2" s="7"/>
      <c r="U2" s="7"/>
      <c r="V2" s="7"/>
      <c r="W2" s="7"/>
      <c r="X2" s="7"/>
      <c r="Y2" s="7"/>
      <c r="Z2" s="29" t="str">
        <f>F5</f>
        <v>Earl's Court</v>
      </c>
    </row>
    <row r="3" spans="3:26" x14ac:dyDescent="0.2">
      <c r="C3" s="9"/>
      <c r="D3" s="2"/>
      <c r="E3" s="2"/>
      <c r="F3" s="2"/>
      <c r="G3" s="2"/>
      <c r="H3" s="2"/>
      <c r="I3" s="2"/>
      <c r="J3" s="2"/>
      <c r="K3" s="2"/>
      <c r="L3" s="2"/>
      <c r="M3" s="10"/>
      <c r="Q3" s="9"/>
      <c r="R3" s="2"/>
      <c r="S3" s="2"/>
      <c r="T3" s="2"/>
      <c r="U3" s="2"/>
      <c r="V3" s="2"/>
      <c r="W3" s="2"/>
      <c r="X3" s="2"/>
      <c r="Y3" s="2"/>
      <c r="Z3" s="10"/>
    </row>
    <row r="4" spans="3:26" x14ac:dyDescent="0.2">
      <c r="C4" s="9"/>
      <c r="D4" s="2"/>
      <c r="E4" s="2"/>
      <c r="F4" s="2"/>
      <c r="G4" s="2"/>
      <c r="H4" s="2"/>
      <c r="I4" s="2"/>
      <c r="J4" s="2"/>
      <c r="K4" s="2"/>
      <c r="L4" s="2"/>
      <c r="M4" s="10"/>
      <c r="Q4" s="9"/>
      <c r="R4" s="2"/>
      <c r="S4" s="2"/>
      <c r="T4" s="2"/>
      <c r="U4" s="2"/>
      <c r="V4" s="2"/>
      <c r="W4" s="2"/>
      <c r="X4" s="2"/>
      <c r="Y4" s="2"/>
      <c r="Z4" s="10"/>
    </row>
    <row r="5" spans="3:26" x14ac:dyDescent="0.2">
      <c r="C5" s="9" t="s">
        <v>1</v>
      </c>
      <c r="D5" s="2"/>
      <c r="E5" s="2"/>
      <c r="F5" s="15" t="s">
        <v>6</v>
      </c>
      <c r="G5" s="2"/>
      <c r="H5" s="2"/>
      <c r="I5" s="89" t="s">
        <v>151</v>
      </c>
      <c r="J5" s="89"/>
      <c r="K5" s="89"/>
      <c r="L5" s="89"/>
      <c r="M5" s="10"/>
      <c r="Q5" s="9"/>
      <c r="R5" s="31" t="s">
        <v>72</v>
      </c>
      <c r="S5" s="32"/>
      <c r="T5" s="33"/>
      <c r="U5" s="32"/>
      <c r="V5" s="32"/>
      <c r="W5" s="34">
        <v>0</v>
      </c>
      <c r="X5" s="2"/>
      <c r="Y5" s="2"/>
      <c r="Z5" s="10"/>
    </row>
    <row r="6" spans="3:26" x14ac:dyDescent="0.2">
      <c r="C6" s="9" t="s">
        <v>5</v>
      </c>
      <c r="D6" s="2"/>
      <c r="E6" s="2"/>
      <c r="F6" s="15" t="s">
        <v>2</v>
      </c>
      <c r="G6" s="2"/>
      <c r="H6" s="2"/>
      <c r="I6" s="89"/>
      <c r="J6" s="89"/>
      <c r="K6" s="89"/>
      <c r="L6" s="89"/>
      <c r="M6" s="10"/>
      <c r="Q6" s="9"/>
      <c r="R6" s="2"/>
      <c r="S6" s="2"/>
      <c r="T6" s="15"/>
      <c r="U6" s="2"/>
      <c r="V6" s="2"/>
      <c r="W6" s="2"/>
      <c r="X6" s="2"/>
      <c r="Y6" s="2"/>
      <c r="Z6" s="10"/>
    </row>
    <row r="7" spans="3:26" x14ac:dyDescent="0.2">
      <c r="C7" s="9" t="s">
        <v>3</v>
      </c>
      <c r="D7" s="2"/>
      <c r="E7" s="2"/>
      <c r="F7" s="15" t="s">
        <v>4</v>
      </c>
      <c r="G7" s="2"/>
      <c r="H7" s="2"/>
      <c r="I7" s="89"/>
      <c r="J7" s="89"/>
      <c r="K7" s="89"/>
      <c r="L7" s="89"/>
      <c r="M7" s="10"/>
      <c r="Q7" s="9"/>
      <c r="R7" s="2" t="s">
        <v>41</v>
      </c>
      <c r="S7" s="2"/>
      <c r="T7" s="15"/>
      <c r="U7" s="2"/>
      <c r="V7" s="2" t="s">
        <v>62</v>
      </c>
      <c r="W7" s="2"/>
      <c r="X7" s="2"/>
      <c r="Y7" s="30" t="s">
        <v>66</v>
      </c>
      <c r="Z7" s="10"/>
    </row>
    <row r="8" spans="3:26" x14ac:dyDescent="0.2">
      <c r="C8" s="9" t="s">
        <v>103</v>
      </c>
      <c r="D8" s="2"/>
      <c r="E8" s="2"/>
      <c r="F8" s="15" t="s">
        <v>105</v>
      </c>
      <c r="G8" s="2"/>
      <c r="H8" s="2"/>
      <c r="I8" s="89"/>
      <c r="J8" s="89"/>
      <c r="K8" s="89"/>
      <c r="L8" s="89"/>
      <c r="M8" s="10"/>
      <c r="Q8" s="9"/>
      <c r="R8" s="2" t="s">
        <v>42</v>
      </c>
      <c r="S8" s="2"/>
      <c r="T8" s="2"/>
      <c r="U8" s="2"/>
      <c r="V8" s="15" t="s">
        <v>63</v>
      </c>
      <c r="W8" s="2"/>
      <c r="X8" s="2"/>
      <c r="Y8" s="53">
        <v>750</v>
      </c>
      <c r="Z8" s="10"/>
    </row>
    <row r="9" spans="3:26" x14ac:dyDescent="0.2">
      <c r="C9" s="9"/>
      <c r="D9" s="2"/>
      <c r="E9" s="2"/>
      <c r="F9" s="2"/>
      <c r="G9" s="2"/>
      <c r="H9" s="2"/>
      <c r="I9" s="89"/>
      <c r="J9" s="89"/>
      <c r="K9" s="89"/>
      <c r="L9" s="89"/>
      <c r="M9" s="10"/>
      <c r="Q9" s="9"/>
      <c r="R9" s="2" t="s">
        <v>43</v>
      </c>
      <c r="S9" s="2"/>
      <c r="T9" s="2"/>
      <c r="U9" s="2"/>
      <c r="V9" s="15" t="s">
        <v>64</v>
      </c>
      <c r="W9" s="2"/>
      <c r="X9" s="2"/>
      <c r="Y9" s="53">
        <v>350</v>
      </c>
      <c r="Z9" s="10"/>
    </row>
    <row r="10" spans="3:26" x14ac:dyDescent="0.2">
      <c r="C10" s="9" t="s">
        <v>7</v>
      </c>
      <c r="D10" s="2"/>
      <c r="E10" s="2"/>
      <c r="F10" s="16">
        <v>43466</v>
      </c>
      <c r="G10" s="2"/>
      <c r="H10" s="2"/>
      <c r="I10" s="89"/>
      <c r="J10" s="89"/>
      <c r="K10" s="89"/>
      <c r="L10" s="89"/>
      <c r="M10" s="10"/>
      <c r="Q10" s="9"/>
      <c r="R10" s="2" t="s">
        <v>44</v>
      </c>
      <c r="S10" s="2"/>
      <c r="T10" s="16"/>
      <c r="U10" s="2"/>
      <c r="V10" s="15" t="s">
        <v>65</v>
      </c>
      <c r="W10" s="2"/>
      <c r="X10" s="2"/>
      <c r="Y10" s="53">
        <v>0</v>
      </c>
      <c r="Z10" s="10"/>
    </row>
    <row r="11" spans="3:26" x14ac:dyDescent="0.2">
      <c r="C11" s="9" t="s">
        <v>8</v>
      </c>
      <c r="D11" s="2"/>
      <c r="E11" s="2"/>
      <c r="F11" s="15">
        <v>2</v>
      </c>
      <c r="G11" s="2"/>
      <c r="H11" s="2"/>
      <c r="I11" s="89"/>
      <c r="J11" s="89"/>
      <c r="K11" s="89"/>
      <c r="L11" s="89"/>
      <c r="M11" s="10"/>
      <c r="Q11" s="9"/>
      <c r="R11" s="2" t="s">
        <v>45</v>
      </c>
      <c r="S11" s="2"/>
      <c r="T11" s="15"/>
      <c r="U11" s="2"/>
      <c r="V11" s="15" t="s">
        <v>69</v>
      </c>
      <c r="W11" s="2"/>
      <c r="X11" s="2"/>
      <c r="Y11" s="53">
        <v>0</v>
      </c>
      <c r="Z11" s="10"/>
    </row>
    <row r="12" spans="3:26" x14ac:dyDescent="0.2">
      <c r="C12" s="9" t="s">
        <v>9</v>
      </c>
      <c r="D12" s="2"/>
      <c r="E12" s="2"/>
      <c r="F12" s="15">
        <v>30</v>
      </c>
      <c r="G12" s="2"/>
      <c r="H12" s="2"/>
      <c r="I12" s="2"/>
      <c r="J12" s="2"/>
      <c r="K12" s="2"/>
      <c r="L12" s="2"/>
      <c r="M12" s="10"/>
      <c r="Q12" s="9"/>
      <c r="R12" s="2" t="s">
        <v>46</v>
      </c>
      <c r="S12" s="2"/>
      <c r="T12" s="15"/>
      <c r="U12" s="2"/>
      <c r="V12" s="15" t="s">
        <v>70</v>
      </c>
      <c r="W12" s="2"/>
      <c r="X12" s="2"/>
      <c r="Y12" s="53">
        <v>0</v>
      </c>
      <c r="Z12" s="10"/>
    </row>
    <row r="13" spans="3:26" x14ac:dyDescent="0.2">
      <c r="C13" s="9" t="s">
        <v>10</v>
      </c>
      <c r="D13" s="2"/>
      <c r="E13" s="2"/>
      <c r="F13" s="15">
        <v>4</v>
      </c>
      <c r="G13" s="2"/>
      <c r="H13" s="2"/>
      <c r="I13" s="4" t="s">
        <v>22</v>
      </c>
      <c r="J13" s="2"/>
      <c r="K13" s="2"/>
      <c r="L13" s="2"/>
      <c r="M13" s="10"/>
      <c r="Q13" s="9"/>
      <c r="R13" s="2" t="s">
        <v>47</v>
      </c>
      <c r="S13" s="2"/>
      <c r="T13" s="15"/>
      <c r="U13" s="2"/>
      <c r="V13" s="15" t="s">
        <v>71</v>
      </c>
      <c r="W13" s="4"/>
      <c r="X13" s="2"/>
      <c r="Y13" s="53">
        <v>0</v>
      </c>
      <c r="Z13" s="10"/>
    </row>
    <row r="14" spans="3:26" x14ac:dyDescent="0.2">
      <c r="C14" s="9" t="s">
        <v>29</v>
      </c>
      <c r="D14" s="2"/>
      <c r="E14" s="2"/>
      <c r="F14" s="2">
        <f>SUM(F11:F13)</f>
        <v>36</v>
      </c>
      <c r="G14" s="2"/>
      <c r="H14" s="2"/>
      <c r="I14" s="2" t="s">
        <v>24</v>
      </c>
      <c r="J14" s="2"/>
      <c r="K14" s="2"/>
      <c r="L14" s="18">
        <v>0.8</v>
      </c>
      <c r="M14" s="10"/>
      <c r="Q14" s="9"/>
      <c r="R14" s="2" t="s">
        <v>48</v>
      </c>
      <c r="S14" s="2"/>
      <c r="T14" s="2"/>
      <c r="U14" s="2"/>
      <c r="V14" s="15"/>
      <c r="W14" s="2"/>
      <c r="X14" s="2"/>
      <c r="Y14" s="53">
        <v>0</v>
      </c>
      <c r="Z14" s="23"/>
    </row>
    <row r="15" spans="3:26" x14ac:dyDescent="0.2">
      <c r="C15" s="9" t="s">
        <v>30</v>
      </c>
      <c r="D15" s="2"/>
      <c r="E15" s="2"/>
      <c r="F15" s="3">
        <f>EOMONTH(F10,F14-1)</f>
        <v>44561</v>
      </c>
      <c r="G15" s="2"/>
      <c r="H15" s="2"/>
      <c r="I15" s="2" t="s">
        <v>23</v>
      </c>
      <c r="J15" s="2"/>
      <c r="K15" s="2"/>
      <c r="L15" s="2">
        <f>L14*F22</f>
        <v>80000</v>
      </c>
      <c r="M15" s="10"/>
      <c r="Q15" s="9"/>
      <c r="R15" s="2" t="s">
        <v>49</v>
      </c>
      <c r="S15" s="2"/>
      <c r="T15" s="3"/>
      <c r="U15" s="2"/>
      <c r="V15" s="15"/>
      <c r="W15" s="2"/>
      <c r="X15" s="2"/>
      <c r="Y15" s="53">
        <v>0</v>
      </c>
      <c r="Z15" s="10"/>
    </row>
    <row r="16" spans="3:26" x14ac:dyDescent="0.2">
      <c r="C16" s="9"/>
      <c r="D16" s="2"/>
      <c r="E16" s="2"/>
      <c r="F16" s="2"/>
      <c r="G16" s="2"/>
      <c r="H16" s="2"/>
      <c r="I16" s="2" t="s">
        <v>25</v>
      </c>
      <c r="J16" s="2"/>
      <c r="K16" s="2"/>
      <c r="L16" s="17">
        <v>3.5000000000000003E-2</v>
      </c>
      <c r="M16" s="10"/>
      <c r="Q16" s="9"/>
      <c r="R16" s="2" t="s">
        <v>50</v>
      </c>
      <c r="S16" s="2"/>
      <c r="T16" s="2"/>
      <c r="U16" s="2"/>
      <c r="V16" s="15"/>
      <c r="W16" s="2"/>
      <c r="X16" s="2"/>
      <c r="Y16" s="53">
        <v>4000</v>
      </c>
      <c r="Z16" s="24"/>
    </row>
    <row r="17" spans="3:26" x14ac:dyDescent="0.2">
      <c r="C17" s="11" t="s">
        <v>11</v>
      </c>
      <c r="D17" s="2"/>
      <c r="E17" s="2"/>
      <c r="F17" s="51">
        <f>IF(W5="","",Y29)</f>
        <v>25000</v>
      </c>
      <c r="G17" s="2"/>
      <c r="H17" s="2"/>
      <c r="I17" s="2" t="s">
        <v>26</v>
      </c>
      <c r="J17" s="2"/>
      <c r="K17" s="2"/>
      <c r="L17" s="15">
        <v>30</v>
      </c>
      <c r="M17" s="10"/>
      <c r="Q17" s="21"/>
      <c r="R17" s="2" t="s">
        <v>51</v>
      </c>
      <c r="S17" s="2"/>
      <c r="T17" s="2"/>
      <c r="U17" s="2"/>
      <c r="V17" s="15"/>
      <c r="W17" s="2"/>
      <c r="X17" s="2"/>
      <c r="Y17" s="53">
        <v>1000</v>
      </c>
      <c r="Z17" s="25"/>
    </row>
    <row r="18" spans="3:26" x14ac:dyDescent="0.2">
      <c r="C18" s="9" t="s">
        <v>12</v>
      </c>
      <c r="D18" s="2"/>
      <c r="E18" s="2"/>
      <c r="F18" s="53">
        <v>50</v>
      </c>
      <c r="G18" s="2"/>
      <c r="H18" s="2"/>
      <c r="I18" s="2" t="s">
        <v>27</v>
      </c>
      <c r="J18" s="2"/>
      <c r="K18" s="2"/>
      <c r="L18" s="15" t="s">
        <v>107</v>
      </c>
      <c r="M18" s="10"/>
      <c r="Q18" s="9"/>
      <c r="R18" s="2" t="s">
        <v>52</v>
      </c>
      <c r="S18" s="2"/>
      <c r="T18" s="15"/>
      <c r="U18" s="2"/>
      <c r="V18" s="15"/>
      <c r="W18" s="2"/>
      <c r="X18" s="2"/>
      <c r="Y18" s="53">
        <v>0</v>
      </c>
      <c r="Z18" s="25"/>
    </row>
    <row r="19" spans="3:26" x14ac:dyDescent="0.2">
      <c r="C19" s="9" t="s">
        <v>13</v>
      </c>
      <c r="D19" s="2"/>
      <c r="E19" s="2"/>
      <c r="F19" s="50">
        <v>25</v>
      </c>
      <c r="G19" s="2"/>
      <c r="H19" s="2"/>
      <c r="I19" s="2" t="s">
        <v>28</v>
      </c>
      <c r="J19" s="2"/>
      <c r="K19" s="2"/>
      <c r="L19" s="6">
        <f>IF(L18="Yes",L16/12*L15,-PMT(L16/12,L17*12,L15,,))</f>
        <v>359.23575024705957</v>
      </c>
      <c r="M19" s="10"/>
      <c r="Q19" s="9"/>
      <c r="R19" s="2" t="s">
        <v>53</v>
      </c>
      <c r="S19" s="2"/>
      <c r="T19" s="15"/>
      <c r="U19" s="2"/>
      <c r="V19" s="15"/>
      <c r="W19" s="2"/>
      <c r="X19" s="2"/>
      <c r="Y19" s="53">
        <v>0</v>
      </c>
      <c r="Z19" s="26"/>
    </row>
    <row r="20" spans="3:26" x14ac:dyDescent="0.2">
      <c r="C20" s="9"/>
      <c r="D20" s="2"/>
      <c r="E20" s="2"/>
      <c r="F20" s="2"/>
      <c r="G20" s="2"/>
      <c r="H20" s="2"/>
      <c r="I20" s="2"/>
      <c r="J20" s="2"/>
      <c r="K20" s="2"/>
      <c r="L20" s="2"/>
      <c r="M20" s="10"/>
      <c r="Q20" s="9"/>
      <c r="R20" s="2" t="s">
        <v>54</v>
      </c>
      <c r="S20" s="2"/>
      <c r="T20" s="2"/>
      <c r="U20" s="2"/>
      <c r="V20" s="15"/>
      <c r="W20" s="2"/>
      <c r="X20" s="2"/>
      <c r="Y20" s="53">
        <v>800</v>
      </c>
      <c r="Z20" s="10"/>
    </row>
    <row r="21" spans="3:26" x14ac:dyDescent="0.2">
      <c r="C21" s="11" t="s">
        <v>14</v>
      </c>
      <c r="D21" s="2"/>
      <c r="E21" s="2"/>
      <c r="F21" s="2"/>
      <c r="G21" s="2"/>
      <c r="H21" s="2"/>
      <c r="I21" s="4" t="s">
        <v>31</v>
      </c>
      <c r="J21" s="2"/>
      <c r="K21" s="2"/>
      <c r="L21" s="2"/>
      <c r="M21" s="10"/>
      <c r="Q21" s="21"/>
      <c r="R21" s="2" t="s">
        <v>55</v>
      </c>
      <c r="S21" s="2"/>
      <c r="T21" s="2"/>
      <c r="U21" s="2"/>
      <c r="V21" s="15"/>
      <c r="W21" s="4"/>
      <c r="X21" s="2"/>
      <c r="Y21" s="53">
        <v>3000</v>
      </c>
      <c r="Z21" s="10"/>
    </row>
    <row r="22" spans="3:26" x14ac:dyDescent="0.2">
      <c r="C22" s="9" t="s">
        <v>15</v>
      </c>
      <c r="D22" s="2"/>
      <c r="E22" s="2"/>
      <c r="F22" s="50">
        <v>100000</v>
      </c>
      <c r="G22" s="2"/>
      <c r="H22" s="2"/>
      <c r="I22" s="2" t="s">
        <v>32</v>
      </c>
      <c r="J22" s="2"/>
      <c r="K22" s="2"/>
      <c r="L22" s="50">
        <v>1200</v>
      </c>
      <c r="M22" s="10"/>
      <c r="Q22" s="9"/>
      <c r="R22" s="2" t="s">
        <v>56</v>
      </c>
      <c r="S22" s="2"/>
      <c r="T22" s="19"/>
      <c r="U22" s="2"/>
      <c r="V22" s="15"/>
      <c r="W22" s="2"/>
      <c r="X22" s="2"/>
      <c r="Y22" s="53">
        <v>0</v>
      </c>
      <c r="Z22" s="27"/>
    </row>
    <row r="23" spans="3:26" x14ac:dyDescent="0.2">
      <c r="C23" s="9" t="s">
        <v>16</v>
      </c>
      <c r="D23" s="2"/>
      <c r="E23" s="2"/>
      <c r="F23" s="17">
        <v>1.4999999999999999E-2</v>
      </c>
      <c r="G23" s="2"/>
      <c r="H23" s="2"/>
      <c r="I23" s="2" t="s">
        <v>33</v>
      </c>
      <c r="J23" s="2"/>
      <c r="K23" s="2"/>
      <c r="L23" s="50">
        <v>150</v>
      </c>
      <c r="M23" s="10"/>
      <c r="Q23" s="9"/>
      <c r="R23" s="2" t="s">
        <v>57</v>
      </c>
      <c r="S23" s="2"/>
      <c r="T23" s="17"/>
      <c r="U23" s="2"/>
      <c r="V23" s="15"/>
      <c r="W23" s="2"/>
      <c r="X23" s="2"/>
      <c r="Y23" s="53">
        <v>1000</v>
      </c>
      <c r="Z23" s="25"/>
    </row>
    <row r="24" spans="3:26" x14ac:dyDescent="0.2">
      <c r="C24" s="9" t="s">
        <v>17</v>
      </c>
      <c r="D24" s="2"/>
      <c r="E24" s="2"/>
      <c r="F24" s="52">
        <v>1500</v>
      </c>
      <c r="G24" s="2"/>
      <c r="H24" s="2"/>
      <c r="I24" s="2" t="s">
        <v>34</v>
      </c>
      <c r="J24" s="2"/>
      <c r="K24" s="2"/>
      <c r="L24" s="18">
        <v>0.08</v>
      </c>
      <c r="M24" s="10"/>
      <c r="Q24" s="9"/>
      <c r="R24" s="2" t="s">
        <v>58</v>
      </c>
      <c r="S24" s="2"/>
      <c r="T24" s="15"/>
      <c r="U24" s="2"/>
      <c r="V24" s="15"/>
      <c r="W24" s="2"/>
      <c r="X24" s="2"/>
      <c r="Y24" s="53">
        <v>10000</v>
      </c>
      <c r="Z24" s="23"/>
    </row>
    <row r="25" spans="3:26" x14ac:dyDescent="0.2">
      <c r="C25" s="9"/>
      <c r="D25" s="2"/>
      <c r="E25" s="2"/>
      <c r="F25" s="2"/>
      <c r="G25" s="2"/>
      <c r="H25" s="2"/>
      <c r="I25" s="2" t="s">
        <v>35</v>
      </c>
      <c r="J25" s="2"/>
      <c r="K25" s="2"/>
      <c r="L25" s="53">
        <v>30</v>
      </c>
      <c r="M25" s="10"/>
      <c r="Q25" s="9"/>
      <c r="R25" s="2" t="s">
        <v>59</v>
      </c>
      <c r="S25" s="2"/>
      <c r="T25" s="2"/>
      <c r="U25" s="2"/>
      <c r="V25" s="15"/>
      <c r="W25" s="2"/>
      <c r="X25" s="2"/>
      <c r="Y25" s="53">
        <v>2600</v>
      </c>
      <c r="Z25" s="25"/>
    </row>
    <row r="26" spans="3:26" x14ac:dyDescent="0.2">
      <c r="C26" s="11" t="s">
        <v>18</v>
      </c>
      <c r="D26" s="2"/>
      <c r="E26" s="2"/>
      <c r="F26" s="2"/>
      <c r="G26" s="2"/>
      <c r="H26" s="2"/>
      <c r="I26" s="2" t="s">
        <v>36</v>
      </c>
      <c r="J26" s="2"/>
      <c r="K26" s="2"/>
      <c r="L26" s="5">
        <f>L25/365</f>
        <v>8.2191780821917804E-2</v>
      </c>
      <c r="M26" s="10"/>
      <c r="Q26" s="21"/>
      <c r="R26" s="2" t="s">
        <v>60</v>
      </c>
      <c r="S26" s="2"/>
      <c r="T26" s="2"/>
      <c r="U26" s="2"/>
      <c r="V26" s="15"/>
      <c r="W26" s="2"/>
      <c r="X26" s="2"/>
      <c r="Y26" s="53">
        <v>0</v>
      </c>
      <c r="Z26" s="28"/>
    </row>
    <row r="27" spans="3:26" x14ac:dyDescent="0.2">
      <c r="C27" s="9" t="s">
        <v>19</v>
      </c>
      <c r="D27" s="2"/>
      <c r="E27" s="2"/>
      <c r="F27" s="50">
        <v>175000</v>
      </c>
      <c r="G27" s="2"/>
      <c r="H27" s="2"/>
      <c r="I27" s="2" t="s">
        <v>37</v>
      </c>
      <c r="J27" s="2"/>
      <c r="K27" s="2"/>
      <c r="L27" s="18">
        <v>0.1</v>
      </c>
      <c r="M27" s="10"/>
      <c r="Q27" s="9"/>
      <c r="R27" s="2" t="s">
        <v>61</v>
      </c>
      <c r="S27" s="2"/>
      <c r="T27" s="19"/>
      <c r="U27" s="2"/>
      <c r="V27" s="15"/>
      <c r="W27" s="2"/>
      <c r="X27" s="2"/>
      <c r="Y27" s="53">
        <v>1500</v>
      </c>
      <c r="Z27" s="23"/>
    </row>
    <row r="28" spans="3:26" x14ac:dyDescent="0.2">
      <c r="C28" s="9" t="s">
        <v>20</v>
      </c>
      <c r="D28" s="2"/>
      <c r="E28" s="2"/>
      <c r="F28" s="18">
        <v>0.04</v>
      </c>
      <c r="G28" s="2"/>
      <c r="H28" s="2"/>
      <c r="I28" s="2" t="s">
        <v>38</v>
      </c>
      <c r="J28" s="2"/>
      <c r="K28" s="2"/>
      <c r="L28" s="18">
        <v>0.03</v>
      </c>
      <c r="M28" s="10"/>
      <c r="Q28" s="9"/>
      <c r="R28" s="22" t="s">
        <v>68</v>
      </c>
      <c r="S28" s="2"/>
      <c r="T28" s="18"/>
      <c r="U28" s="2"/>
      <c r="V28" s="2"/>
      <c r="W28" s="2"/>
      <c r="X28" s="2"/>
      <c r="Y28" s="30"/>
      <c r="Z28" s="23"/>
    </row>
    <row r="29" spans="3:26" x14ac:dyDescent="0.2">
      <c r="C29" s="9" t="s">
        <v>21</v>
      </c>
      <c r="D29" s="2"/>
      <c r="E29" s="2"/>
      <c r="F29" s="18">
        <v>0.01</v>
      </c>
      <c r="G29" s="2"/>
      <c r="H29" s="2"/>
      <c r="I29" s="2" t="s">
        <v>39</v>
      </c>
      <c r="J29" s="2"/>
      <c r="K29" s="2"/>
      <c r="L29" s="66">
        <v>2.5000000000000001E-2</v>
      </c>
      <c r="M29" s="10"/>
      <c r="Q29" s="9"/>
      <c r="R29" s="2"/>
      <c r="S29" s="2"/>
      <c r="T29" s="18"/>
      <c r="U29" s="2"/>
      <c r="V29" s="2"/>
      <c r="W29" s="2"/>
      <c r="X29" s="4" t="s">
        <v>67</v>
      </c>
      <c r="Y29" s="54">
        <f>SUM(Y8:Y28)</f>
        <v>25000</v>
      </c>
      <c r="Z29" s="23"/>
    </row>
    <row r="30" spans="3:26" ht="16" thickBot="1" x14ac:dyDescent="0.25">
      <c r="C30" s="12"/>
      <c r="D30" s="13"/>
      <c r="E30" s="13"/>
      <c r="F30" s="13"/>
      <c r="G30" s="13"/>
      <c r="H30" s="13"/>
      <c r="I30" s="13"/>
      <c r="J30" s="13"/>
      <c r="K30" s="13"/>
      <c r="L30" s="13"/>
      <c r="M30" s="14"/>
      <c r="Q30" s="12"/>
      <c r="R30" s="13"/>
      <c r="S30" s="13"/>
      <c r="T30" s="13"/>
      <c r="U30" s="13"/>
      <c r="V30" s="13"/>
      <c r="W30" s="13"/>
      <c r="X30" s="13"/>
      <c r="Y30" s="13"/>
      <c r="Z30" s="14"/>
    </row>
    <row r="31" spans="3:26" ht="11.25" customHeight="1" thickTop="1" x14ac:dyDescent="0.2"/>
    <row r="32" spans="3:26" ht="11.25" customHeight="1" x14ac:dyDescent="0.2"/>
    <row r="33" spans="3:13" ht="11.25" customHeight="1" thickBot="1" x14ac:dyDescent="0.25"/>
    <row r="34" spans="3:13" ht="16" thickTop="1" x14ac:dyDescent="0.2">
      <c r="C34" s="20" t="s">
        <v>129</v>
      </c>
      <c r="D34" s="7"/>
      <c r="E34" s="7"/>
      <c r="F34" s="7"/>
      <c r="G34" s="7"/>
      <c r="H34" s="7"/>
      <c r="I34" s="7"/>
      <c r="J34" s="7"/>
      <c r="K34" s="7"/>
      <c r="L34" s="7"/>
      <c r="M34" s="48" t="str">
        <f>F5</f>
        <v>Earl's Court</v>
      </c>
    </row>
    <row r="35" spans="3:13" x14ac:dyDescent="0.2">
      <c r="C35" s="9"/>
      <c r="D35" s="2"/>
      <c r="E35" s="2"/>
      <c r="F35" s="2"/>
      <c r="G35" s="2"/>
      <c r="H35" s="2"/>
      <c r="I35" s="2"/>
      <c r="J35" s="2"/>
      <c r="K35" s="2"/>
      <c r="L35" s="2"/>
      <c r="M35" s="49" t="str">
        <f t="shared" ref="M35:M36" si="0">F6</f>
        <v>123 Main Street</v>
      </c>
    </row>
    <row r="36" spans="3:13" x14ac:dyDescent="0.2">
      <c r="C36" s="9" t="s">
        <v>130</v>
      </c>
      <c r="D36" s="2"/>
      <c r="E36" s="2"/>
      <c r="F36" s="30" t="str">
        <f>F5</f>
        <v>Earl's Court</v>
      </c>
      <c r="G36" s="2"/>
      <c r="H36" s="2"/>
      <c r="I36" s="2"/>
      <c r="J36" s="2"/>
      <c r="K36" s="2"/>
      <c r="L36" s="2"/>
      <c r="M36" s="49" t="str">
        <f t="shared" si="0"/>
        <v>Springfield</v>
      </c>
    </row>
    <row r="37" spans="3:13" x14ac:dyDescent="0.2">
      <c r="C37" s="9" t="s">
        <v>103</v>
      </c>
      <c r="D37" s="2"/>
      <c r="E37" s="2"/>
      <c r="F37" s="30" t="str">
        <f>Strategy</f>
        <v>Hold</v>
      </c>
      <c r="G37" s="2"/>
      <c r="H37" s="2"/>
      <c r="I37" s="2"/>
      <c r="J37" s="2"/>
      <c r="K37" s="2"/>
      <c r="L37" s="2"/>
      <c r="M37" s="10"/>
    </row>
    <row r="38" spans="3:13" x14ac:dyDescent="0.2">
      <c r="C38" s="9" t="s">
        <v>131</v>
      </c>
      <c r="D38" s="2"/>
      <c r="E38" s="2"/>
      <c r="F38" s="46">
        <f>Purch_Date</f>
        <v>43466</v>
      </c>
      <c r="G38" s="2"/>
      <c r="H38" s="2"/>
      <c r="I38" s="2"/>
      <c r="J38" s="2"/>
      <c r="K38" s="2"/>
      <c r="L38" s="2"/>
      <c r="M38" s="10"/>
    </row>
    <row r="39" spans="3:13" x14ac:dyDescent="0.2">
      <c r="C39" s="9" t="s">
        <v>132</v>
      </c>
      <c r="D39" s="2"/>
      <c r="E39" s="2"/>
      <c r="F39" s="30" t="str">
        <f>F11&amp;" months"</f>
        <v>2 months</v>
      </c>
      <c r="G39" s="2"/>
      <c r="H39" s="2"/>
      <c r="I39" s="2"/>
      <c r="J39" s="2"/>
      <c r="K39" s="2"/>
      <c r="L39" s="2"/>
      <c r="M39" s="10"/>
    </row>
    <row r="40" spans="3:13" x14ac:dyDescent="0.2">
      <c r="C40" s="9" t="s">
        <v>133</v>
      </c>
      <c r="D40" s="2"/>
      <c r="E40" s="2"/>
      <c r="F40" s="46">
        <f>Sale_Date</f>
        <v>44561</v>
      </c>
      <c r="G40" s="2"/>
      <c r="H40" s="2"/>
      <c r="I40" s="2"/>
      <c r="J40" s="2"/>
      <c r="K40" s="2"/>
      <c r="L40" s="2"/>
      <c r="M40" s="10"/>
    </row>
    <row r="41" spans="3:13" x14ac:dyDescent="0.2">
      <c r="C41" s="9" t="s">
        <v>134</v>
      </c>
      <c r="D41" s="2"/>
      <c r="E41" s="2"/>
      <c r="F41" s="30" t="str">
        <f>F14&amp;" months"</f>
        <v>36 months</v>
      </c>
      <c r="G41" s="2"/>
      <c r="H41" s="2"/>
      <c r="I41" s="2"/>
      <c r="J41" s="2"/>
      <c r="K41" s="2"/>
      <c r="L41" s="2"/>
      <c r="M41" s="10"/>
    </row>
    <row r="42" spans="3:13" x14ac:dyDescent="0.2">
      <c r="C42" s="9"/>
      <c r="D42" s="2"/>
      <c r="E42" s="2"/>
      <c r="F42" s="30"/>
      <c r="G42" s="2"/>
      <c r="H42" s="2"/>
      <c r="I42" s="2"/>
      <c r="J42" s="2"/>
      <c r="K42" s="2"/>
      <c r="L42" s="2"/>
      <c r="M42" s="10"/>
    </row>
    <row r="43" spans="3:13" x14ac:dyDescent="0.2">
      <c r="C43" s="9" t="s">
        <v>135</v>
      </c>
      <c r="D43" s="2"/>
      <c r="E43" s="2"/>
      <c r="F43" s="51">
        <f>-SUM(Proforma!F7:J9)</f>
        <v>103000</v>
      </c>
      <c r="G43" s="2"/>
      <c r="H43" s="2" t="s">
        <v>146</v>
      </c>
      <c r="I43" s="2"/>
      <c r="J43" s="2"/>
      <c r="K43" s="51">
        <f>Sale_Price</f>
        <v>175000</v>
      </c>
      <c r="L43" s="2"/>
      <c r="M43" s="10"/>
    </row>
    <row r="44" spans="3:13" x14ac:dyDescent="0.2">
      <c r="C44" s="9" t="s">
        <v>136</v>
      </c>
      <c r="D44" s="2"/>
      <c r="E44" s="2"/>
      <c r="F44" s="51">
        <f>-Loan_Amount</f>
        <v>-80000</v>
      </c>
      <c r="G44" s="2"/>
      <c r="H44" s="2" t="s">
        <v>147</v>
      </c>
      <c r="I44" s="2"/>
      <c r="J44" s="2"/>
      <c r="K44" s="51">
        <f>SUM(Proforma!F37:J38)</f>
        <v>-8750</v>
      </c>
      <c r="L44" s="2"/>
      <c r="M44" s="10"/>
    </row>
    <row r="45" spans="3:13" x14ac:dyDescent="0.2">
      <c r="C45" s="9" t="s">
        <v>137</v>
      </c>
      <c r="D45" s="2"/>
      <c r="E45" s="2"/>
      <c r="F45" s="51">
        <f>SUM(F43:F44)</f>
        <v>23000</v>
      </c>
      <c r="G45" s="2"/>
      <c r="H45" s="2" t="s">
        <v>99</v>
      </c>
      <c r="I45" s="2"/>
      <c r="J45" s="2"/>
      <c r="K45" s="51">
        <f>SUM(Proforma!F39:J39)</f>
        <v>-75228.33254017045</v>
      </c>
      <c r="L45" s="2"/>
      <c r="M45" s="10"/>
    </row>
    <row r="46" spans="3:13" x14ac:dyDescent="0.2">
      <c r="C46" s="9"/>
      <c r="D46" s="2"/>
      <c r="E46" s="2"/>
      <c r="F46" s="30"/>
      <c r="G46" s="2"/>
      <c r="H46" s="2" t="s">
        <v>100</v>
      </c>
      <c r="I46" s="2"/>
      <c r="J46" s="2"/>
      <c r="K46" s="51">
        <f>SUM(K43:K45)</f>
        <v>91021.66745982955</v>
      </c>
      <c r="L46" s="2"/>
      <c r="M46" s="10"/>
    </row>
    <row r="47" spans="3:13" x14ac:dyDescent="0.2">
      <c r="C47" s="9"/>
      <c r="D47" s="2"/>
      <c r="E47" s="2"/>
      <c r="F47" s="30"/>
      <c r="G47" s="2"/>
      <c r="H47" s="2"/>
      <c r="I47" s="2"/>
      <c r="J47" s="2"/>
      <c r="K47" s="51"/>
      <c r="L47" s="2"/>
      <c r="M47" s="10"/>
    </row>
    <row r="48" spans="3:13" x14ac:dyDescent="0.2">
      <c r="C48" s="9" t="s">
        <v>138</v>
      </c>
      <c r="D48" s="2"/>
      <c r="E48" s="2"/>
      <c r="F48" s="51">
        <f>-SUM(Cashflows!E25:BL25)</f>
        <v>25000</v>
      </c>
      <c r="G48" s="2"/>
      <c r="H48" s="2" t="s">
        <v>148</v>
      </c>
      <c r="I48" s="2"/>
      <c r="J48" s="2"/>
      <c r="K48" s="51">
        <f>K49-K46</f>
        <v>12730.861379112306</v>
      </c>
      <c r="L48" s="2"/>
      <c r="M48" s="10"/>
    </row>
    <row r="49" spans="3:13" x14ac:dyDescent="0.2">
      <c r="C49" s="9" t="s">
        <v>139</v>
      </c>
      <c r="D49" s="2"/>
      <c r="E49" s="2"/>
      <c r="F49" s="30"/>
      <c r="G49" s="2"/>
      <c r="H49" s="2" t="s">
        <v>150</v>
      </c>
      <c r="I49" s="2"/>
      <c r="J49" s="2"/>
      <c r="K49" s="51">
        <f>Cashflows!D57</f>
        <v>103752.52883894186</v>
      </c>
      <c r="L49" s="2"/>
      <c r="M49" s="10"/>
    </row>
    <row r="50" spans="3:13" x14ac:dyDescent="0.2">
      <c r="C50" s="9"/>
      <c r="D50" s="2"/>
      <c r="E50" s="2"/>
      <c r="F50" s="30"/>
      <c r="G50" s="2"/>
      <c r="H50" s="2"/>
      <c r="I50" s="2"/>
      <c r="J50" s="2"/>
      <c r="K50" s="2"/>
      <c r="L50" s="2"/>
      <c r="M50" s="10"/>
    </row>
    <row r="51" spans="3:13" x14ac:dyDescent="0.2">
      <c r="C51" s="9"/>
      <c r="D51" s="2"/>
      <c r="E51" s="2"/>
      <c r="F51" s="30"/>
      <c r="G51" s="2"/>
      <c r="H51" s="2"/>
      <c r="I51" s="2"/>
      <c r="J51" s="2"/>
      <c r="K51" s="2"/>
      <c r="L51" s="2"/>
      <c r="M51" s="10"/>
    </row>
    <row r="52" spans="3:13" x14ac:dyDescent="0.2">
      <c r="C52" s="11" t="s">
        <v>140</v>
      </c>
      <c r="D52" s="4"/>
      <c r="E52" s="4"/>
      <c r="F52" s="54">
        <f>Cashflows!D55</f>
        <v>48868.471500494124</v>
      </c>
      <c r="G52" s="4"/>
      <c r="H52" s="4" t="s">
        <v>149</v>
      </c>
      <c r="I52" s="4"/>
      <c r="J52" s="4"/>
      <c r="K52" s="54">
        <f>K49-F52</f>
        <v>54884.057338447732</v>
      </c>
      <c r="L52" s="2"/>
      <c r="M52" s="10"/>
    </row>
    <row r="53" spans="3:13" x14ac:dyDescent="0.2">
      <c r="C53" s="9"/>
      <c r="D53" s="2"/>
      <c r="E53" s="2"/>
      <c r="F53" s="2"/>
      <c r="G53" s="2"/>
      <c r="H53" s="2"/>
      <c r="I53" s="2"/>
      <c r="J53" s="2"/>
      <c r="K53" s="2"/>
      <c r="L53" s="2"/>
      <c r="M53" s="10"/>
    </row>
    <row r="54" spans="3:13" x14ac:dyDescent="0.2">
      <c r="C54" s="11" t="s">
        <v>141</v>
      </c>
      <c r="D54" s="2"/>
      <c r="E54" s="2"/>
      <c r="F54" s="2"/>
      <c r="G54" s="2"/>
      <c r="H54" s="2"/>
      <c r="I54" s="2"/>
      <c r="J54" s="2"/>
      <c r="K54" s="2"/>
      <c r="L54" s="2"/>
      <c r="M54" s="10"/>
    </row>
    <row r="55" spans="3:13" x14ac:dyDescent="0.2">
      <c r="C55" s="9" t="s">
        <v>142</v>
      </c>
      <c r="D55" s="2"/>
      <c r="E55" s="2"/>
      <c r="F55" s="2"/>
      <c r="G55" s="5">
        <f>Cashflows!D45</f>
        <v>0.15503126978874213</v>
      </c>
      <c r="H55" s="2"/>
      <c r="I55" s="2"/>
      <c r="J55" s="2"/>
      <c r="K55" s="2"/>
      <c r="L55" s="2"/>
      <c r="M55" s="10"/>
    </row>
    <row r="56" spans="3:13" x14ac:dyDescent="0.2">
      <c r="C56" s="9" t="s">
        <v>143</v>
      </c>
      <c r="D56" s="2"/>
      <c r="E56" s="2"/>
      <c r="F56" s="2"/>
      <c r="G56" s="5">
        <f>Cashflows!D54</f>
        <v>0.31790061593055741</v>
      </c>
      <c r="H56" s="2"/>
      <c r="I56" s="2"/>
      <c r="J56" s="2"/>
      <c r="K56" s="2"/>
      <c r="L56" s="2"/>
      <c r="M56" s="10"/>
    </row>
    <row r="57" spans="3:13" x14ac:dyDescent="0.2">
      <c r="C57" s="9" t="s">
        <v>144</v>
      </c>
      <c r="D57" s="2"/>
      <c r="E57" s="2"/>
      <c r="F57" s="2"/>
      <c r="G57" s="47">
        <f>Cashflows!D44</f>
        <v>1.4919615832033737</v>
      </c>
      <c r="H57" s="2"/>
      <c r="I57" s="2"/>
      <c r="J57" s="2"/>
      <c r="K57" s="2"/>
      <c r="L57" s="2"/>
      <c r="M57" s="10"/>
    </row>
    <row r="58" spans="3:13" x14ac:dyDescent="0.2">
      <c r="C58" s="9" t="s">
        <v>145</v>
      </c>
      <c r="D58" s="2"/>
      <c r="E58" s="2"/>
      <c r="F58" s="2"/>
      <c r="G58" s="47">
        <f>Cashflows!D53</f>
        <v>2.1230974829628706</v>
      </c>
      <c r="H58" s="2"/>
      <c r="I58" s="2"/>
      <c r="J58" s="2"/>
      <c r="K58" s="2"/>
      <c r="L58" s="2"/>
      <c r="M58" s="10"/>
    </row>
    <row r="59" spans="3:13" x14ac:dyDescent="0.2">
      <c r="C59" s="9"/>
      <c r="D59" s="2"/>
      <c r="E59" s="2"/>
      <c r="F59" s="2"/>
      <c r="G59" s="2"/>
      <c r="H59" s="2"/>
      <c r="I59" s="2"/>
      <c r="J59" s="2"/>
      <c r="K59" s="2"/>
      <c r="L59" s="2"/>
      <c r="M59" s="10"/>
    </row>
    <row r="60" spans="3:13" ht="16" thickBot="1" x14ac:dyDescent="0.25">
      <c r="C60" s="12"/>
      <c r="D60" s="13"/>
      <c r="E60" s="13"/>
      <c r="F60" s="13"/>
      <c r="G60" s="13"/>
      <c r="H60" s="13"/>
      <c r="I60" s="13"/>
      <c r="J60" s="13"/>
      <c r="K60" s="13"/>
      <c r="L60" s="13"/>
      <c r="M60" s="14"/>
    </row>
    <row r="61" spans="3:13" ht="16" thickTop="1" x14ac:dyDescent="0.2"/>
    <row r="62" spans="3:13" x14ac:dyDescent="0.2"/>
    <row r="63" spans="3:13" x14ac:dyDescent="0.2"/>
    <row r="64" spans="3:13" x14ac:dyDescent="0.2"/>
    <row r="65" x14ac:dyDescent="0.2"/>
    <row r="66" x14ac:dyDescent="0.2"/>
    <row r="67" x14ac:dyDescent="0.2"/>
  </sheetData>
  <mergeCells count="1">
    <mergeCell ref="I5:L11"/>
  </mergeCells>
  <dataValidations count="2">
    <dataValidation type="list" allowBlank="1" showInputMessage="1" showErrorMessage="1" sqref="F8">
      <formula1>"Hold, Flip"</formula1>
    </dataValidation>
    <dataValidation type="list" allowBlank="1" showInputMessage="1" showErrorMessage="1" sqref="L18">
      <formula1>"Yes, No"</formula1>
    </dataValidation>
  </dataValidation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59"/>
  <sheetViews>
    <sheetView showGridLines="0" zoomScale="160" zoomScaleNormal="160" zoomScalePageLayoutView="160" workbookViewId="0">
      <pane xSplit="3" ySplit="4" topLeftCell="D41" activePane="bottomRight" state="frozen"/>
      <selection pane="topRight" activeCell="D1" sqref="D1"/>
      <selection pane="bottomLeft" activeCell="A5" sqref="A5"/>
      <selection pane="bottomRight" activeCell="D56" sqref="D56"/>
    </sheetView>
  </sheetViews>
  <sheetFormatPr baseColWidth="10" defaultColWidth="0" defaultRowHeight="15" zeroHeight="1" x14ac:dyDescent="0.2"/>
  <cols>
    <col min="1" max="1" width="14.33203125" customWidth="1"/>
    <col min="2" max="2" width="2.1640625" customWidth="1"/>
    <col min="3" max="3" width="25.5" bestFit="1" customWidth="1"/>
    <col min="4" max="4" width="14.83203125" customWidth="1"/>
    <col min="5" max="40" width="14.5" bestFit="1" customWidth="1"/>
    <col min="41" max="64" width="11.33203125" bestFit="1" customWidth="1"/>
    <col min="65" max="68" width="9.1640625" customWidth="1"/>
    <col min="69" max="16384" width="9.1640625" hidden="1"/>
  </cols>
  <sheetData>
    <row r="1" spans="2:64" x14ac:dyDescent="0.2"/>
    <row r="2" spans="2:64" x14ac:dyDescent="0.2">
      <c r="C2" s="43" t="s">
        <v>81</v>
      </c>
      <c r="D2" s="38">
        <f>ROUNDUP(D3/12,0)</f>
        <v>0</v>
      </c>
      <c r="E2" s="38">
        <f t="shared" ref="E2" si="0">ROUNDUP(E3/12,0)</f>
        <v>1</v>
      </c>
      <c r="F2" s="38">
        <f t="shared" ref="F2" si="1">ROUNDUP(F3/12,0)</f>
        <v>1</v>
      </c>
      <c r="G2" s="38">
        <f t="shared" ref="G2" si="2">ROUNDUP(G3/12,0)</f>
        <v>1</v>
      </c>
      <c r="H2" s="38">
        <f t="shared" ref="H2" si="3">ROUNDUP(H3/12,0)</f>
        <v>1</v>
      </c>
      <c r="I2" s="38">
        <f t="shared" ref="I2" si="4">ROUNDUP(I3/12,0)</f>
        <v>1</v>
      </c>
      <c r="J2" s="38">
        <f t="shared" ref="J2" si="5">ROUNDUP(J3/12,0)</f>
        <v>1</v>
      </c>
      <c r="K2" s="38">
        <f t="shared" ref="K2" si="6">ROUNDUP(K3/12,0)</f>
        <v>1</v>
      </c>
      <c r="L2" s="38">
        <f t="shared" ref="L2" si="7">ROUNDUP(L3/12,0)</f>
        <v>1</v>
      </c>
      <c r="M2" s="38">
        <f t="shared" ref="M2" si="8">ROUNDUP(M3/12,0)</f>
        <v>1</v>
      </c>
      <c r="N2" s="38">
        <f t="shared" ref="N2" si="9">ROUNDUP(N3/12,0)</f>
        <v>1</v>
      </c>
      <c r="O2" s="38">
        <f t="shared" ref="O2" si="10">ROUNDUP(O3/12,0)</f>
        <v>1</v>
      </c>
      <c r="P2" s="38">
        <f t="shared" ref="P2" si="11">ROUNDUP(P3/12,0)</f>
        <v>1</v>
      </c>
      <c r="Q2" s="38">
        <f t="shared" ref="Q2" si="12">ROUNDUP(Q3/12,0)</f>
        <v>2</v>
      </c>
      <c r="R2" s="38">
        <f t="shared" ref="R2" si="13">ROUNDUP(R3/12,0)</f>
        <v>2</v>
      </c>
      <c r="S2" s="38">
        <f t="shared" ref="S2" si="14">ROUNDUP(S3/12,0)</f>
        <v>2</v>
      </c>
      <c r="T2" s="38">
        <f t="shared" ref="T2" si="15">ROUNDUP(T3/12,0)</f>
        <v>2</v>
      </c>
      <c r="U2" s="38">
        <f t="shared" ref="U2" si="16">ROUNDUP(U3/12,0)</f>
        <v>2</v>
      </c>
      <c r="V2" s="38">
        <f t="shared" ref="V2" si="17">ROUNDUP(V3/12,0)</f>
        <v>2</v>
      </c>
      <c r="W2" s="38">
        <f t="shared" ref="W2" si="18">ROUNDUP(W3/12,0)</f>
        <v>2</v>
      </c>
      <c r="X2" s="38">
        <f t="shared" ref="X2" si="19">ROUNDUP(X3/12,0)</f>
        <v>2</v>
      </c>
      <c r="Y2" s="38">
        <f t="shared" ref="Y2" si="20">ROUNDUP(Y3/12,0)</f>
        <v>2</v>
      </c>
      <c r="Z2" s="38">
        <f t="shared" ref="Z2" si="21">ROUNDUP(Z3/12,0)</f>
        <v>2</v>
      </c>
      <c r="AA2" s="38">
        <f t="shared" ref="AA2" si="22">ROUNDUP(AA3/12,0)</f>
        <v>2</v>
      </c>
      <c r="AB2" s="38">
        <f t="shared" ref="AB2" si="23">ROUNDUP(AB3/12,0)</f>
        <v>2</v>
      </c>
      <c r="AC2" s="38">
        <f t="shared" ref="AC2" si="24">ROUNDUP(AC3/12,0)</f>
        <v>3</v>
      </c>
      <c r="AD2" s="38">
        <f t="shared" ref="AD2" si="25">ROUNDUP(AD3/12,0)</f>
        <v>3</v>
      </c>
      <c r="AE2" s="38">
        <f t="shared" ref="AE2" si="26">ROUNDUP(AE3/12,0)</f>
        <v>3</v>
      </c>
      <c r="AF2" s="38">
        <f t="shared" ref="AF2" si="27">ROUNDUP(AF3/12,0)</f>
        <v>3</v>
      </c>
      <c r="AG2" s="38">
        <f t="shared" ref="AG2" si="28">ROUNDUP(AG3/12,0)</f>
        <v>3</v>
      </c>
      <c r="AH2" s="38">
        <f t="shared" ref="AH2" si="29">ROUNDUP(AH3/12,0)</f>
        <v>3</v>
      </c>
      <c r="AI2" s="38">
        <f t="shared" ref="AI2" si="30">ROUNDUP(AI3/12,0)</f>
        <v>3</v>
      </c>
      <c r="AJ2" s="38">
        <f t="shared" ref="AJ2" si="31">ROUNDUP(AJ3/12,0)</f>
        <v>3</v>
      </c>
      <c r="AK2" s="38">
        <f t="shared" ref="AK2" si="32">ROUNDUP(AK3/12,0)</f>
        <v>3</v>
      </c>
      <c r="AL2" s="38">
        <f t="shared" ref="AL2" si="33">ROUNDUP(AL3/12,0)</f>
        <v>3</v>
      </c>
      <c r="AM2" s="38">
        <f t="shared" ref="AM2" si="34">ROUNDUP(AM3/12,0)</f>
        <v>3</v>
      </c>
      <c r="AN2" s="38">
        <f t="shared" ref="AN2" si="35">ROUNDUP(AN3/12,0)</f>
        <v>3</v>
      </c>
      <c r="AO2" s="38">
        <f t="shared" ref="AO2" si="36">ROUNDUP(AO3/12,0)</f>
        <v>4</v>
      </c>
      <c r="AP2" s="38">
        <f t="shared" ref="AP2" si="37">ROUNDUP(AP3/12,0)</f>
        <v>4</v>
      </c>
      <c r="AQ2" s="38">
        <f t="shared" ref="AQ2" si="38">ROUNDUP(AQ3/12,0)</f>
        <v>4</v>
      </c>
      <c r="AR2" s="38">
        <f t="shared" ref="AR2" si="39">ROUNDUP(AR3/12,0)</f>
        <v>4</v>
      </c>
      <c r="AS2" s="38">
        <f t="shared" ref="AS2" si="40">ROUNDUP(AS3/12,0)</f>
        <v>4</v>
      </c>
      <c r="AT2" s="38">
        <f t="shared" ref="AT2" si="41">ROUNDUP(AT3/12,0)</f>
        <v>4</v>
      </c>
      <c r="AU2" s="38">
        <f t="shared" ref="AU2" si="42">ROUNDUP(AU3/12,0)</f>
        <v>4</v>
      </c>
      <c r="AV2" s="38">
        <f t="shared" ref="AV2" si="43">ROUNDUP(AV3/12,0)</f>
        <v>4</v>
      </c>
      <c r="AW2" s="38">
        <f t="shared" ref="AW2" si="44">ROUNDUP(AW3/12,0)</f>
        <v>4</v>
      </c>
      <c r="AX2" s="38">
        <f t="shared" ref="AX2" si="45">ROUNDUP(AX3/12,0)</f>
        <v>4</v>
      </c>
      <c r="AY2" s="38">
        <f t="shared" ref="AY2" si="46">ROUNDUP(AY3/12,0)</f>
        <v>4</v>
      </c>
      <c r="AZ2" s="38">
        <f t="shared" ref="AZ2" si="47">ROUNDUP(AZ3/12,0)</f>
        <v>4</v>
      </c>
      <c r="BA2" s="38">
        <f t="shared" ref="BA2" si="48">ROUNDUP(BA3/12,0)</f>
        <v>5</v>
      </c>
      <c r="BB2" s="38">
        <f t="shared" ref="BB2" si="49">ROUNDUP(BB3/12,0)</f>
        <v>5</v>
      </c>
      <c r="BC2" s="38">
        <f t="shared" ref="BC2" si="50">ROUNDUP(BC3/12,0)</f>
        <v>5</v>
      </c>
      <c r="BD2" s="38">
        <f t="shared" ref="BD2" si="51">ROUNDUP(BD3/12,0)</f>
        <v>5</v>
      </c>
      <c r="BE2" s="38">
        <f t="shared" ref="BE2" si="52">ROUNDUP(BE3/12,0)</f>
        <v>5</v>
      </c>
      <c r="BF2" s="38">
        <f t="shared" ref="BF2" si="53">ROUNDUP(BF3/12,0)</f>
        <v>5</v>
      </c>
      <c r="BG2" s="38">
        <f t="shared" ref="BG2" si="54">ROUNDUP(BG3/12,0)</f>
        <v>5</v>
      </c>
      <c r="BH2" s="38">
        <f t="shared" ref="BH2" si="55">ROUNDUP(BH3/12,0)</f>
        <v>5</v>
      </c>
      <c r="BI2" s="38">
        <f t="shared" ref="BI2" si="56">ROUNDUP(BI3/12,0)</f>
        <v>5</v>
      </c>
      <c r="BJ2" s="38">
        <f t="shared" ref="BJ2" si="57">ROUNDUP(BJ3/12,0)</f>
        <v>5</v>
      </c>
      <c r="BK2" s="38">
        <f t="shared" ref="BK2" si="58">ROUNDUP(BK3/12,0)</f>
        <v>5</v>
      </c>
      <c r="BL2" s="38">
        <f t="shared" ref="BL2" si="59">ROUNDUP(BL3/12,0)</f>
        <v>5</v>
      </c>
    </row>
    <row r="3" spans="2:64" x14ac:dyDescent="0.2">
      <c r="C3" s="43" t="s">
        <v>82</v>
      </c>
      <c r="D3" s="38">
        <v>0</v>
      </c>
      <c r="E3" s="38">
        <v>1</v>
      </c>
      <c r="F3" s="38">
        <v>2</v>
      </c>
      <c r="G3" s="38">
        <v>3</v>
      </c>
      <c r="H3" s="38">
        <v>4</v>
      </c>
      <c r="I3" s="38">
        <v>5</v>
      </c>
      <c r="J3" s="38">
        <v>6</v>
      </c>
      <c r="K3" s="38">
        <v>7</v>
      </c>
      <c r="L3" s="38">
        <v>8</v>
      </c>
      <c r="M3" s="38">
        <v>9</v>
      </c>
      <c r="N3" s="38">
        <v>10</v>
      </c>
      <c r="O3" s="38">
        <v>11</v>
      </c>
      <c r="P3" s="38">
        <v>12</v>
      </c>
      <c r="Q3" s="38">
        <v>13</v>
      </c>
      <c r="R3" s="38">
        <v>14</v>
      </c>
      <c r="S3" s="38">
        <v>15</v>
      </c>
      <c r="T3" s="38">
        <v>16</v>
      </c>
      <c r="U3" s="38">
        <v>17</v>
      </c>
      <c r="V3" s="38">
        <v>18</v>
      </c>
      <c r="W3" s="38">
        <v>19</v>
      </c>
      <c r="X3" s="38">
        <v>20</v>
      </c>
      <c r="Y3" s="38">
        <v>21</v>
      </c>
      <c r="Z3" s="38">
        <v>22</v>
      </c>
      <c r="AA3" s="38">
        <v>23</v>
      </c>
      <c r="AB3" s="38">
        <v>24</v>
      </c>
      <c r="AC3" s="38">
        <v>25</v>
      </c>
      <c r="AD3" s="38">
        <v>26</v>
      </c>
      <c r="AE3" s="38">
        <v>27</v>
      </c>
      <c r="AF3" s="38">
        <v>28</v>
      </c>
      <c r="AG3" s="38">
        <v>29</v>
      </c>
      <c r="AH3" s="38">
        <v>30</v>
      </c>
      <c r="AI3" s="38">
        <v>31</v>
      </c>
      <c r="AJ3" s="38">
        <v>32</v>
      </c>
      <c r="AK3" s="38">
        <v>33</v>
      </c>
      <c r="AL3" s="38">
        <v>34</v>
      </c>
      <c r="AM3" s="38">
        <v>35</v>
      </c>
      <c r="AN3" s="38">
        <v>36</v>
      </c>
      <c r="AO3" s="38">
        <v>37</v>
      </c>
      <c r="AP3" s="38">
        <v>38</v>
      </c>
      <c r="AQ3" s="38">
        <v>39</v>
      </c>
      <c r="AR3" s="38">
        <v>40</v>
      </c>
      <c r="AS3" s="38">
        <v>41</v>
      </c>
      <c r="AT3" s="38">
        <v>42</v>
      </c>
      <c r="AU3" s="38">
        <v>43</v>
      </c>
      <c r="AV3" s="38">
        <v>44</v>
      </c>
      <c r="AW3" s="38">
        <v>45</v>
      </c>
      <c r="AX3" s="38">
        <v>46</v>
      </c>
      <c r="AY3" s="38">
        <v>47</v>
      </c>
      <c r="AZ3" s="38">
        <v>48</v>
      </c>
      <c r="BA3" s="38">
        <v>49</v>
      </c>
      <c r="BB3" s="38">
        <v>50</v>
      </c>
      <c r="BC3" s="38">
        <v>51</v>
      </c>
      <c r="BD3" s="38">
        <v>52</v>
      </c>
      <c r="BE3" s="38">
        <v>53</v>
      </c>
      <c r="BF3" s="38">
        <v>54</v>
      </c>
      <c r="BG3" s="38">
        <v>55</v>
      </c>
      <c r="BH3" s="38">
        <v>56</v>
      </c>
      <c r="BI3" s="38">
        <v>57</v>
      </c>
      <c r="BJ3" s="38">
        <v>58</v>
      </c>
      <c r="BK3" s="38">
        <v>59</v>
      </c>
      <c r="BL3" s="38">
        <v>60</v>
      </c>
    </row>
    <row r="4" spans="2:64" x14ac:dyDescent="0.2">
      <c r="C4" s="43" t="s">
        <v>73</v>
      </c>
      <c r="D4" s="35">
        <f>Purch_Date</f>
        <v>43466</v>
      </c>
      <c r="E4" s="35">
        <f>EOMONTH(D4,0)</f>
        <v>43496</v>
      </c>
      <c r="F4" s="35">
        <f>EOMONTH(E4,1)</f>
        <v>43524</v>
      </c>
      <c r="G4" s="35">
        <f t="shared" ref="G4:BL4" si="60">EOMONTH(F4,1)</f>
        <v>43555</v>
      </c>
      <c r="H4" s="35">
        <f t="shared" si="60"/>
        <v>43585</v>
      </c>
      <c r="I4" s="35">
        <f t="shared" si="60"/>
        <v>43616</v>
      </c>
      <c r="J4" s="35">
        <f t="shared" si="60"/>
        <v>43646</v>
      </c>
      <c r="K4" s="35">
        <f t="shared" si="60"/>
        <v>43677</v>
      </c>
      <c r="L4" s="35">
        <f t="shared" si="60"/>
        <v>43708</v>
      </c>
      <c r="M4" s="35">
        <f t="shared" si="60"/>
        <v>43738</v>
      </c>
      <c r="N4" s="35">
        <f t="shared" si="60"/>
        <v>43769</v>
      </c>
      <c r="O4" s="35">
        <f t="shared" si="60"/>
        <v>43799</v>
      </c>
      <c r="P4" s="35">
        <f t="shared" si="60"/>
        <v>43830</v>
      </c>
      <c r="Q4" s="35">
        <f t="shared" si="60"/>
        <v>43861</v>
      </c>
      <c r="R4" s="35">
        <f t="shared" si="60"/>
        <v>43890</v>
      </c>
      <c r="S4" s="35">
        <f t="shared" si="60"/>
        <v>43921</v>
      </c>
      <c r="T4" s="35">
        <f t="shared" si="60"/>
        <v>43951</v>
      </c>
      <c r="U4" s="35">
        <f t="shared" si="60"/>
        <v>43982</v>
      </c>
      <c r="V4" s="35">
        <f t="shared" si="60"/>
        <v>44012</v>
      </c>
      <c r="W4" s="35">
        <f t="shared" si="60"/>
        <v>44043</v>
      </c>
      <c r="X4" s="35">
        <f t="shared" si="60"/>
        <v>44074</v>
      </c>
      <c r="Y4" s="35">
        <f t="shared" si="60"/>
        <v>44104</v>
      </c>
      <c r="Z4" s="35">
        <f t="shared" si="60"/>
        <v>44135</v>
      </c>
      <c r="AA4" s="35">
        <f t="shared" si="60"/>
        <v>44165</v>
      </c>
      <c r="AB4" s="35">
        <f t="shared" si="60"/>
        <v>44196</v>
      </c>
      <c r="AC4" s="35">
        <f t="shared" si="60"/>
        <v>44227</v>
      </c>
      <c r="AD4" s="35">
        <f t="shared" si="60"/>
        <v>44255</v>
      </c>
      <c r="AE4" s="35">
        <f t="shared" si="60"/>
        <v>44286</v>
      </c>
      <c r="AF4" s="35">
        <f t="shared" si="60"/>
        <v>44316</v>
      </c>
      <c r="AG4" s="35">
        <f t="shared" si="60"/>
        <v>44347</v>
      </c>
      <c r="AH4" s="35">
        <f t="shared" si="60"/>
        <v>44377</v>
      </c>
      <c r="AI4" s="35">
        <f t="shared" si="60"/>
        <v>44408</v>
      </c>
      <c r="AJ4" s="35">
        <f t="shared" si="60"/>
        <v>44439</v>
      </c>
      <c r="AK4" s="35">
        <f t="shared" si="60"/>
        <v>44469</v>
      </c>
      <c r="AL4" s="35">
        <f t="shared" si="60"/>
        <v>44500</v>
      </c>
      <c r="AM4" s="35">
        <f t="shared" si="60"/>
        <v>44530</v>
      </c>
      <c r="AN4" s="35">
        <f t="shared" si="60"/>
        <v>44561</v>
      </c>
      <c r="AO4" s="35">
        <f t="shared" si="60"/>
        <v>44592</v>
      </c>
      <c r="AP4" s="35">
        <f t="shared" si="60"/>
        <v>44620</v>
      </c>
      <c r="AQ4" s="35">
        <f t="shared" si="60"/>
        <v>44651</v>
      </c>
      <c r="AR4" s="35">
        <f t="shared" si="60"/>
        <v>44681</v>
      </c>
      <c r="AS4" s="35">
        <f t="shared" si="60"/>
        <v>44712</v>
      </c>
      <c r="AT4" s="35">
        <f t="shared" si="60"/>
        <v>44742</v>
      </c>
      <c r="AU4" s="35">
        <f t="shared" si="60"/>
        <v>44773</v>
      </c>
      <c r="AV4" s="35">
        <f t="shared" si="60"/>
        <v>44804</v>
      </c>
      <c r="AW4" s="35">
        <f t="shared" si="60"/>
        <v>44834</v>
      </c>
      <c r="AX4" s="35">
        <f t="shared" si="60"/>
        <v>44865</v>
      </c>
      <c r="AY4" s="35">
        <f t="shared" si="60"/>
        <v>44895</v>
      </c>
      <c r="AZ4" s="35">
        <f t="shared" si="60"/>
        <v>44926</v>
      </c>
      <c r="BA4" s="35">
        <f t="shared" si="60"/>
        <v>44957</v>
      </c>
      <c r="BB4" s="35">
        <f t="shared" si="60"/>
        <v>44985</v>
      </c>
      <c r="BC4" s="35">
        <f t="shared" si="60"/>
        <v>45016</v>
      </c>
      <c r="BD4" s="35">
        <f t="shared" si="60"/>
        <v>45046</v>
      </c>
      <c r="BE4" s="35">
        <f t="shared" si="60"/>
        <v>45077</v>
      </c>
      <c r="BF4" s="35">
        <f t="shared" si="60"/>
        <v>45107</v>
      </c>
      <c r="BG4" s="35">
        <f t="shared" si="60"/>
        <v>45138</v>
      </c>
      <c r="BH4" s="35">
        <f t="shared" si="60"/>
        <v>45169</v>
      </c>
      <c r="BI4" s="35">
        <f t="shared" si="60"/>
        <v>45199</v>
      </c>
      <c r="BJ4" s="35">
        <f t="shared" si="60"/>
        <v>45230</v>
      </c>
      <c r="BK4" s="35">
        <f t="shared" si="60"/>
        <v>45260</v>
      </c>
      <c r="BL4" s="35">
        <f t="shared" si="60"/>
        <v>45291</v>
      </c>
    </row>
    <row r="5" spans="2:64" x14ac:dyDescent="0.2"/>
    <row r="6" spans="2:64" x14ac:dyDescent="0.2">
      <c r="B6" s="45" t="s">
        <v>74</v>
      </c>
    </row>
    <row r="7" spans="2:64" x14ac:dyDescent="0.2">
      <c r="C7" s="36" t="s">
        <v>75</v>
      </c>
      <c r="D7" s="55">
        <f>IF(D4=Purch_Date,-Purch_Price,0)</f>
        <v>-100000</v>
      </c>
      <c r="E7" s="55">
        <f t="shared" ref="E7:AI7" si="61">IF(E4=Purch_Date,Purch_Price,0)</f>
        <v>0</v>
      </c>
      <c r="F7" s="55">
        <f t="shared" si="61"/>
        <v>0</v>
      </c>
      <c r="G7" s="55">
        <f t="shared" si="61"/>
        <v>0</v>
      </c>
      <c r="H7" s="55">
        <f t="shared" si="61"/>
        <v>0</v>
      </c>
      <c r="I7" s="55">
        <f t="shared" si="61"/>
        <v>0</v>
      </c>
      <c r="J7" s="55">
        <f t="shared" si="61"/>
        <v>0</v>
      </c>
      <c r="K7" s="55">
        <f t="shared" si="61"/>
        <v>0</v>
      </c>
      <c r="L7" s="55">
        <f t="shared" si="61"/>
        <v>0</v>
      </c>
      <c r="M7" s="55">
        <f t="shared" si="61"/>
        <v>0</v>
      </c>
      <c r="N7" s="55">
        <f t="shared" si="61"/>
        <v>0</v>
      </c>
      <c r="O7" s="55">
        <f t="shared" si="61"/>
        <v>0</v>
      </c>
      <c r="P7" s="55">
        <f t="shared" si="61"/>
        <v>0</v>
      </c>
      <c r="Q7" s="55">
        <f t="shared" si="61"/>
        <v>0</v>
      </c>
      <c r="R7" s="55">
        <f t="shared" si="61"/>
        <v>0</v>
      </c>
      <c r="S7" s="55">
        <f t="shared" si="61"/>
        <v>0</v>
      </c>
      <c r="T7" s="55">
        <f t="shared" si="61"/>
        <v>0</v>
      </c>
      <c r="U7" s="55">
        <f t="shared" si="61"/>
        <v>0</v>
      </c>
      <c r="V7" s="55">
        <f t="shared" si="61"/>
        <v>0</v>
      </c>
      <c r="W7" s="55">
        <f t="shared" si="61"/>
        <v>0</v>
      </c>
      <c r="X7" s="55">
        <f t="shared" si="61"/>
        <v>0</v>
      </c>
      <c r="Y7" s="55">
        <f t="shared" si="61"/>
        <v>0</v>
      </c>
      <c r="Z7" s="55">
        <f t="shared" si="61"/>
        <v>0</v>
      </c>
      <c r="AA7" s="55">
        <f t="shared" si="61"/>
        <v>0</v>
      </c>
      <c r="AB7" s="55">
        <f t="shared" si="61"/>
        <v>0</v>
      </c>
      <c r="AC7" s="55">
        <f t="shared" si="61"/>
        <v>0</v>
      </c>
      <c r="AD7" s="55">
        <f t="shared" si="61"/>
        <v>0</v>
      </c>
      <c r="AE7" s="55">
        <f t="shared" si="61"/>
        <v>0</v>
      </c>
      <c r="AF7" s="55">
        <f t="shared" si="61"/>
        <v>0</v>
      </c>
      <c r="AG7" s="55">
        <f t="shared" si="61"/>
        <v>0</v>
      </c>
      <c r="AH7" s="55">
        <f t="shared" si="61"/>
        <v>0</v>
      </c>
      <c r="AI7" s="55">
        <f t="shared" si="61"/>
        <v>0</v>
      </c>
      <c r="AJ7" s="55">
        <f t="shared" ref="AJ7:BL7" si="62">IF(AJ4=Purch_Date,Purch_Price,0)</f>
        <v>0</v>
      </c>
      <c r="AK7" s="55">
        <f t="shared" si="62"/>
        <v>0</v>
      </c>
      <c r="AL7" s="55">
        <f t="shared" si="62"/>
        <v>0</v>
      </c>
      <c r="AM7" s="55">
        <f t="shared" si="62"/>
        <v>0</v>
      </c>
      <c r="AN7" s="55">
        <f t="shared" si="62"/>
        <v>0</v>
      </c>
      <c r="AO7" s="55">
        <f t="shared" si="62"/>
        <v>0</v>
      </c>
      <c r="AP7" s="55">
        <f t="shared" si="62"/>
        <v>0</v>
      </c>
      <c r="AQ7" s="55">
        <f t="shared" si="62"/>
        <v>0</v>
      </c>
      <c r="AR7" s="55">
        <f t="shared" si="62"/>
        <v>0</v>
      </c>
      <c r="AS7" s="55">
        <f t="shared" si="62"/>
        <v>0</v>
      </c>
      <c r="AT7" s="55">
        <f t="shared" si="62"/>
        <v>0</v>
      </c>
      <c r="AU7" s="55">
        <f t="shared" si="62"/>
        <v>0</v>
      </c>
      <c r="AV7" s="55">
        <f t="shared" si="62"/>
        <v>0</v>
      </c>
      <c r="AW7" s="55">
        <f t="shared" si="62"/>
        <v>0</v>
      </c>
      <c r="AX7" s="55">
        <f t="shared" si="62"/>
        <v>0</v>
      </c>
      <c r="AY7" s="55">
        <f t="shared" si="62"/>
        <v>0</v>
      </c>
      <c r="AZ7" s="55">
        <f t="shared" si="62"/>
        <v>0</v>
      </c>
      <c r="BA7" s="55">
        <f t="shared" si="62"/>
        <v>0</v>
      </c>
      <c r="BB7" s="55">
        <f t="shared" si="62"/>
        <v>0</v>
      </c>
      <c r="BC7" s="55">
        <f t="shared" si="62"/>
        <v>0</v>
      </c>
      <c r="BD7" s="55">
        <f t="shared" si="62"/>
        <v>0</v>
      </c>
      <c r="BE7" s="55">
        <f t="shared" si="62"/>
        <v>0</v>
      </c>
      <c r="BF7" s="55">
        <f t="shared" si="62"/>
        <v>0</v>
      </c>
      <c r="BG7" s="55">
        <f t="shared" si="62"/>
        <v>0</v>
      </c>
      <c r="BH7" s="55">
        <f t="shared" si="62"/>
        <v>0</v>
      </c>
      <c r="BI7" s="55">
        <f t="shared" si="62"/>
        <v>0</v>
      </c>
      <c r="BJ7" s="55">
        <f t="shared" si="62"/>
        <v>0</v>
      </c>
      <c r="BK7" s="55">
        <f t="shared" si="62"/>
        <v>0</v>
      </c>
      <c r="BL7" s="55">
        <f t="shared" si="62"/>
        <v>0</v>
      </c>
    </row>
    <row r="8" spans="2:64" x14ac:dyDescent="0.2">
      <c r="C8" s="36" t="s">
        <v>76</v>
      </c>
      <c r="D8" s="55">
        <f t="shared" ref="D8:AI8" si="63">IF(D4=Purch_Date,-Closing_Costs_Percentage*Purch_Price,0)</f>
        <v>-1500</v>
      </c>
      <c r="E8" s="55">
        <f t="shared" si="63"/>
        <v>0</v>
      </c>
      <c r="F8" s="55">
        <f t="shared" si="63"/>
        <v>0</v>
      </c>
      <c r="G8" s="55">
        <f t="shared" si="63"/>
        <v>0</v>
      </c>
      <c r="H8" s="55">
        <f t="shared" si="63"/>
        <v>0</v>
      </c>
      <c r="I8" s="55">
        <f t="shared" si="63"/>
        <v>0</v>
      </c>
      <c r="J8" s="55">
        <f t="shared" si="63"/>
        <v>0</v>
      </c>
      <c r="K8" s="55">
        <f t="shared" si="63"/>
        <v>0</v>
      </c>
      <c r="L8" s="55">
        <f t="shared" si="63"/>
        <v>0</v>
      </c>
      <c r="M8" s="55">
        <f t="shared" si="63"/>
        <v>0</v>
      </c>
      <c r="N8" s="55">
        <f t="shared" si="63"/>
        <v>0</v>
      </c>
      <c r="O8" s="55">
        <f t="shared" si="63"/>
        <v>0</v>
      </c>
      <c r="P8" s="55">
        <f t="shared" si="63"/>
        <v>0</v>
      </c>
      <c r="Q8" s="55">
        <f t="shared" si="63"/>
        <v>0</v>
      </c>
      <c r="R8" s="55">
        <f t="shared" si="63"/>
        <v>0</v>
      </c>
      <c r="S8" s="55">
        <f t="shared" si="63"/>
        <v>0</v>
      </c>
      <c r="T8" s="55">
        <f t="shared" si="63"/>
        <v>0</v>
      </c>
      <c r="U8" s="55">
        <f t="shared" si="63"/>
        <v>0</v>
      </c>
      <c r="V8" s="55">
        <f t="shared" si="63"/>
        <v>0</v>
      </c>
      <c r="W8" s="55">
        <f t="shared" si="63"/>
        <v>0</v>
      </c>
      <c r="X8" s="55">
        <f t="shared" si="63"/>
        <v>0</v>
      </c>
      <c r="Y8" s="55">
        <f t="shared" si="63"/>
        <v>0</v>
      </c>
      <c r="Z8" s="55">
        <f t="shared" si="63"/>
        <v>0</v>
      </c>
      <c r="AA8" s="55">
        <f t="shared" si="63"/>
        <v>0</v>
      </c>
      <c r="AB8" s="55">
        <f t="shared" si="63"/>
        <v>0</v>
      </c>
      <c r="AC8" s="55">
        <f t="shared" si="63"/>
        <v>0</v>
      </c>
      <c r="AD8" s="55">
        <f t="shared" si="63"/>
        <v>0</v>
      </c>
      <c r="AE8" s="55">
        <f t="shared" si="63"/>
        <v>0</v>
      </c>
      <c r="AF8" s="55">
        <f t="shared" si="63"/>
        <v>0</v>
      </c>
      <c r="AG8" s="55">
        <f t="shared" si="63"/>
        <v>0</v>
      </c>
      <c r="AH8" s="55">
        <f t="shared" si="63"/>
        <v>0</v>
      </c>
      <c r="AI8" s="55">
        <f t="shared" si="63"/>
        <v>0</v>
      </c>
      <c r="AJ8" s="55">
        <f t="shared" ref="AJ8:BL8" si="64">IF(AJ4=Purch_Date,-Closing_Costs_Percentage*Purch_Price,0)</f>
        <v>0</v>
      </c>
      <c r="AK8" s="55">
        <f t="shared" si="64"/>
        <v>0</v>
      </c>
      <c r="AL8" s="55">
        <f t="shared" si="64"/>
        <v>0</v>
      </c>
      <c r="AM8" s="55">
        <f t="shared" si="64"/>
        <v>0</v>
      </c>
      <c r="AN8" s="55">
        <f t="shared" si="64"/>
        <v>0</v>
      </c>
      <c r="AO8" s="55">
        <f t="shared" si="64"/>
        <v>0</v>
      </c>
      <c r="AP8" s="55">
        <f t="shared" si="64"/>
        <v>0</v>
      </c>
      <c r="AQ8" s="55">
        <f t="shared" si="64"/>
        <v>0</v>
      </c>
      <c r="AR8" s="55">
        <f t="shared" si="64"/>
        <v>0</v>
      </c>
      <c r="AS8" s="55">
        <f t="shared" si="64"/>
        <v>0</v>
      </c>
      <c r="AT8" s="55">
        <f t="shared" si="64"/>
        <v>0</v>
      </c>
      <c r="AU8" s="55">
        <f t="shared" si="64"/>
        <v>0</v>
      </c>
      <c r="AV8" s="55">
        <f t="shared" si="64"/>
        <v>0</v>
      </c>
      <c r="AW8" s="55">
        <f t="shared" si="64"/>
        <v>0</v>
      </c>
      <c r="AX8" s="55">
        <f t="shared" si="64"/>
        <v>0</v>
      </c>
      <c r="AY8" s="55">
        <f t="shared" si="64"/>
        <v>0</v>
      </c>
      <c r="AZ8" s="55">
        <f t="shared" si="64"/>
        <v>0</v>
      </c>
      <c r="BA8" s="55">
        <f t="shared" si="64"/>
        <v>0</v>
      </c>
      <c r="BB8" s="55">
        <f t="shared" si="64"/>
        <v>0</v>
      </c>
      <c r="BC8" s="55">
        <f t="shared" si="64"/>
        <v>0</v>
      </c>
      <c r="BD8" s="55">
        <f t="shared" si="64"/>
        <v>0</v>
      </c>
      <c r="BE8" s="55">
        <f t="shared" si="64"/>
        <v>0</v>
      </c>
      <c r="BF8" s="55">
        <f t="shared" si="64"/>
        <v>0</v>
      </c>
      <c r="BG8" s="55">
        <f t="shared" si="64"/>
        <v>0</v>
      </c>
      <c r="BH8" s="55">
        <f t="shared" si="64"/>
        <v>0</v>
      </c>
      <c r="BI8" s="55">
        <f t="shared" si="64"/>
        <v>0</v>
      </c>
      <c r="BJ8" s="55">
        <f t="shared" si="64"/>
        <v>0</v>
      </c>
      <c r="BK8" s="55">
        <f t="shared" si="64"/>
        <v>0</v>
      </c>
      <c r="BL8" s="55">
        <f t="shared" si="64"/>
        <v>0</v>
      </c>
    </row>
    <row r="9" spans="2:64" x14ac:dyDescent="0.2">
      <c r="C9" s="36" t="s">
        <v>77</v>
      </c>
      <c r="D9" s="55">
        <f t="shared" ref="D9:AI9" si="65">IF(D4=Purch_Date,-Due_Dil_Costs,0)</f>
        <v>-1500</v>
      </c>
      <c r="E9" s="55">
        <f t="shared" si="65"/>
        <v>0</v>
      </c>
      <c r="F9" s="55">
        <f t="shared" si="65"/>
        <v>0</v>
      </c>
      <c r="G9" s="55">
        <f t="shared" si="65"/>
        <v>0</v>
      </c>
      <c r="H9" s="55">
        <f t="shared" si="65"/>
        <v>0</v>
      </c>
      <c r="I9" s="55">
        <f t="shared" si="65"/>
        <v>0</v>
      </c>
      <c r="J9" s="55">
        <f t="shared" si="65"/>
        <v>0</v>
      </c>
      <c r="K9" s="55">
        <f t="shared" si="65"/>
        <v>0</v>
      </c>
      <c r="L9" s="55">
        <f t="shared" si="65"/>
        <v>0</v>
      </c>
      <c r="M9" s="55">
        <f t="shared" si="65"/>
        <v>0</v>
      </c>
      <c r="N9" s="55">
        <f t="shared" si="65"/>
        <v>0</v>
      </c>
      <c r="O9" s="55">
        <f t="shared" si="65"/>
        <v>0</v>
      </c>
      <c r="P9" s="55">
        <f t="shared" si="65"/>
        <v>0</v>
      </c>
      <c r="Q9" s="55">
        <f t="shared" si="65"/>
        <v>0</v>
      </c>
      <c r="R9" s="55">
        <f t="shared" si="65"/>
        <v>0</v>
      </c>
      <c r="S9" s="55">
        <f t="shared" si="65"/>
        <v>0</v>
      </c>
      <c r="T9" s="55">
        <f t="shared" si="65"/>
        <v>0</v>
      </c>
      <c r="U9" s="55">
        <f t="shared" si="65"/>
        <v>0</v>
      </c>
      <c r="V9" s="55">
        <f t="shared" si="65"/>
        <v>0</v>
      </c>
      <c r="W9" s="55">
        <f t="shared" si="65"/>
        <v>0</v>
      </c>
      <c r="X9" s="55">
        <f t="shared" si="65"/>
        <v>0</v>
      </c>
      <c r="Y9" s="55">
        <f t="shared" si="65"/>
        <v>0</v>
      </c>
      <c r="Z9" s="55">
        <f t="shared" si="65"/>
        <v>0</v>
      </c>
      <c r="AA9" s="55">
        <f t="shared" si="65"/>
        <v>0</v>
      </c>
      <c r="AB9" s="55">
        <f t="shared" si="65"/>
        <v>0</v>
      </c>
      <c r="AC9" s="55">
        <f t="shared" si="65"/>
        <v>0</v>
      </c>
      <c r="AD9" s="55">
        <f t="shared" si="65"/>
        <v>0</v>
      </c>
      <c r="AE9" s="55">
        <f t="shared" si="65"/>
        <v>0</v>
      </c>
      <c r="AF9" s="55">
        <f t="shared" si="65"/>
        <v>0</v>
      </c>
      <c r="AG9" s="55">
        <f t="shared" si="65"/>
        <v>0</v>
      </c>
      <c r="AH9" s="55">
        <f t="shared" si="65"/>
        <v>0</v>
      </c>
      <c r="AI9" s="55">
        <f t="shared" si="65"/>
        <v>0</v>
      </c>
      <c r="AJ9" s="55">
        <f t="shared" ref="AJ9:BL9" si="66">IF(AJ4=Purch_Date,-Due_Dil_Costs,0)</f>
        <v>0</v>
      </c>
      <c r="AK9" s="55">
        <f t="shared" si="66"/>
        <v>0</v>
      </c>
      <c r="AL9" s="55">
        <f t="shared" si="66"/>
        <v>0</v>
      </c>
      <c r="AM9" s="55">
        <f t="shared" si="66"/>
        <v>0</v>
      </c>
      <c r="AN9" s="55">
        <f t="shared" si="66"/>
        <v>0</v>
      </c>
      <c r="AO9" s="55">
        <f t="shared" si="66"/>
        <v>0</v>
      </c>
      <c r="AP9" s="55">
        <f t="shared" si="66"/>
        <v>0</v>
      </c>
      <c r="AQ9" s="55">
        <f t="shared" si="66"/>
        <v>0</v>
      </c>
      <c r="AR9" s="55">
        <f t="shared" si="66"/>
        <v>0</v>
      </c>
      <c r="AS9" s="55">
        <f t="shared" si="66"/>
        <v>0</v>
      </c>
      <c r="AT9" s="55">
        <f t="shared" si="66"/>
        <v>0</v>
      </c>
      <c r="AU9" s="55">
        <f t="shared" si="66"/>
        <v>0</v>
      </c>
      <c r="AV9" s="55">
        <f t="shared" si="66"/>
        <v>0</v>
      </c>
      <c r="AW9" s="55">
        <f t="shared" si="66"/>
        <v>0</v>
      </c>
      <c r="AX9" s="55">
        <f t="shared" si="66"/>
        <v>0</v>
      </c>
      <c r="AY9" s="55">
        <f t="shared" si="66"/>
        <v>0</v>
      </c>
      <c r="AZ9" s="55">
        <f t="shared" si="66"/>
        <v>0</v>
      </c>
      <c r="BA9" s="55">
        <f t="shared" si="66"/>
        <v>0</v>
      </c>
      <c r="BB9" s="55">
        <f t="shared" si="66"/>
        <v>0</v>
      </c>
      <c r="BC9" s="55">
        <f t="shared" si="66"/>
        <v>0</v>
      </c>
      <c r="BD9" s="55">
        <f t="shared" si="66"/>
        <v>0</v>
      </c>
      <c r="BE9" s="55">
        <f t="shared" si="66"/>
        <v>0</v>
      </c>
      <c r="BF9" s="55">
        <f t="shared" si="66"/>
        <v>0</v>
      </c>
      <c r="BG9" s="55">
        <f t="shared" si="66"/>
        <v>0</v>
      </c>
      <c r="BH9" s="55">
        <f t="shared" si="66"/>
        <v>0</v>
      </c>
      <c r="BI9" s="55">
        <f t="shared" si="66"/>
        <v>0</v>
      </c>
      <c r="BJ9" s="55">
        <f t="shared" si="66"/>
        <v>0</v>
      </c>
      <c r="BK9" s="55">
        <f t="shared" si="66"/>
        <v>0</v>
      </c>
      <c r="BL9" s="55">
        <f t="shared" si="66"/>
        <v>0</v>
      </c>
    </row>
    <row r="10" spans="2:64" x14ac:dyDescent="0.2"/>
    <row r="11" spans="2:64" x14ac:dyDescent="0.2">
      <c r="B11" s="44" t="s">
        <v>79</v>
      </c>
      <c r="C11" s="37"/>
    </row>
    <row r="12" spans="2:64" x14ac:dyDescent="0.2">
      <c r="C12" s="36" t="s">
        <v>78</v>
      </c>
      <c r="E12" s="55">
        <f>IF(AND(E3&gt;'Inputs &amp; Summary'!$F$11,E3&lt;=('Inputs &amp; Summary'!$F$14)),Gross_Mthly_Rent*((1+Ann_Income_Growth)^(E2-1)),0)</f>
        <v>0</v>
      </c>
      <c r="F12" s="55">
        <f>IF(AND(F3&gt;'Inputs &amp; Summary'!$F$11,F3&lt;=('Inputs &amp; Summary'!$F$14)),Gross_Mthly_Rent*((1+Ann_Income_Growth)^(F2-1)),0)</f>
        <v>0</v>
      </c>
      <c r="G12" s="55">
        <f>IF(AND(G3&gt;'Inputs &amp; Summary'!$F$11,G3&lt;=('Inputs &amp; Summary'!$F$14)),Gross_Mthly_Rent*((1+Ann_Income_Growth)^(G2-1)),0)</f>
        <v>1200</v>
      </c>
      <c r="H12" s="55">
        <f>IF(AND(H3&gt;'Inputs &amp; Summary'!$F$11,H3&lt;=('Inputs &amp; Summary'!$F$14)),Gross_Mthly_Rent*((1+Ann_Income_Growth)^(H2-1)),0)</f>
        <v>1200</v>
      </c>
      <c r="I12" s="55">
        <f>IF(AND(I3&gt;'Inputs &amp; Summary'!$F$11,I3&lt;=('Inputs &amp; Summary'!$F$14)),Gross_Mthly_Rent*((1+Ann_Income_Growth)^(I2-1)),0)</f>
        <v>1200</v>
      </c>
      <c r="J12" s="55">
        <f>IF(AND(J3&gt;'Inputs &amp; Summary'!$F$11,J3&lt;=('Inputs &amp; Summary'!$F$14)),Gross_Mthly_Rent*((1+Ann_Income_Growth)^(J2-1)),0)</f>
        <v>1200</v>
      </c>
      <c r="K12" s="55">
        <f>IF(AND(K3&gt;'Inputs &amp; Summary'!$F$11,K3&lt;=('Inputs &amp; Summary'!$F$14)),Gross_Mthly_Rent*((1+Ann_Income_Growth)^(K2-1)),0)</f>
        <v>1200</v>
      </c>
      <c r="L12" s="55">
        <f>IF(AND(L3&gt;'Inputs &amp; Summary'!$F$11,L3&lt;=('Inputs &amp; Summary'!$F$14)),Gross_Mthly_Rent*((1+Ann_Income_Growth)^(L2-1)),0)</f>
        <v>1200</v>
      </c>
      <c r="M12" s="55">
        <f>IF(AND(M3&gt;'Inputs &amp; Summary'!$F$11,M3&lt;=('Inputs &amp; Summary'!$F$14)),Gross_Mthly_Rent*((1+Ann_Income_Growth)^(M2-1)),0)</f>
        <v>1200</v>
      </c>
      <c r="N12" s="55">
        <f>IF(AND(N3&gt;'Inputs &amp; Summary'!$F$11,N3&lt;=('Inputs &amp; Summary'!$F$14)),Gross_Mthly_Rent*((1+Ann_Income_Growth)^(N2-1)),0)</f>
        <v>1200</v>
      </c>
      <c r="O12" s="55">
        <f>IF(AND(O3&gt;'Inputs &amp; Summary'!$F$11,O3&lt;=('Inputs &amp; Summary'!$F$14)),Gross_Mthly_Rent*((1+Ann_Income_Growth)^(O2-1)),0)</f>
        <v>1200</v>
      </c>
      <c r="P12" s="55">
        <f>IF(AND(P3&gt;'Inputs &amp; Summary'!$F$11,P3&lt;=('Inputs &amp; Summary'!$F$14)),Gross_Mthly_Rent*((1+Ann_Income_Growth)^(P2-1)),0)</f>
        <v>1200</v>
      </c>
      <c r="Q12" s="55">
        <f>IF(AND(Q3&gt;'Inputs &amp; Summary'!$F$11,Q3&lt;=('Inputs &amp; Summary'!$F$14)),Gross_Mthly_Rent*((1+Ann_Income_Growth)^(Q2-1)),0)</f>
        <v>1236</v>
      </c>
      <c r="R12" s="55">
        <f>IF(AND(R3&gt;'Inputs &amp; Summary'!$F$11,R3&lt;=('Inputs &amp; Summary'!$F$14)),Gross_Mthly_Rent*((1+Ann_Income_Growth)^(R2-1)),0)</f>
        <v>1236</v>
      </c>
      <c r="S12" s="55">
        <f>IF(AND(S3&gt;'Inputs &amp; Summary'!$F$11,S3&lt;=('Inputs &amp; Summary'!$F$14)),Gross_Mthly_Rent*((1+Ann_Income_Growth)^(S2-1)),0)</f>
        <v>1236</v>
      </c>
      <c r="T12" s="55">
        <f>IF(AND(T3&gt;'Inputs &amp; Summary'!$F$11,T3&lt;=('Inputs &amp; Summary'!$F$14)),Gross_Mthly_Rent*((1+Ann_Income_Growth)^(T2-1)),0)</f>
        <v>1236</v>
      </c>
      <c r="U12" s="55">
        <f>IF(AND(U3&gt;'Inputs &amp; Summary'!$F$11,U3&lt;=('Inputs &amp; Summary'!$F$14)),Gross_Mthly_Rent*((1+Ann_Income_Growth)^(U2-1)),0)</f>
        <v>1236</v>
      </c>
      <c r="V12" s="55">
        <f>IF(AND(V3&gt;'Inputs &amp; Summary'!$F$11,V3&lt;=('Inputs &amp; Summary'!$F$14)),Gross_Mthly_Rent*((1+Ann_Income_Growth)^(V2-1)),0)</f>
        <v>1236</v>
      </c>
      <c r="W12" s="55">
        <f>IF(AND(W3&gt;'Inputs &amp; Summary'!$F$11,W3&lt;=('Inputs &amp; Summary'!$F$14)),Gross_Mthly_Rent*((1+Ann_Income_Growth)^(W2-1)),0)</f>
        <v>1236</v>
      </c>
      <c r="X12" s="55">
        <f>IF(AND(X3&gt;'Inputs &amp; Summary'!$F$11,X3&lt;=('Inputs &amp; Summary'!$F$14)),Gross_Mthly_Rent*((1+Ann_Income_Growth)^(X2-1)),0)</f>
        <v>1236</v>
      </c>
      <c r="Y12" s="55">
        <f>IF(AND(Y3&gt;'Inputs &amp; Summary'!$F$11,Y3&lt;=('Inputs &amp; Summary'!$F$14)),Gross_Mthly_Rent*((1+Ann_Income_Growth)^(Y2-1)),0)</f>
        <v>1236</v>
      </c>
      <c r="Z12" s="55">
        <f>IF(AND(Z3&gt;'Inputs &amp; Summary'!$F$11,Z3&lt;=('Inputs &amp; Summary'!$F$14)),Gross_Mthly_Rent*((1+Ann_Income_Growth)^(Z2-1)),0)</f>
        <v>1236</v>
      </c>
      <c r="AA12" s="55">
        <f>IF(AND(AA3&gt;'Inputs &amp; Summary'!$F$11,AA3&lt;=('Inputs &amp; Summary'!$F$14)),Gross_Mthly_Rent*((1+Ann_Income_Growth)^(AA2-1)),0)</f>
        <v>1236</v>
      </c>
      <c r="AB12" s="55">
        <f>IF(AND(AB3&gt;'Inputs &amp; Summary'!$F$11,AB3&lt;=('Inputs &amp; Summary'!$F$14)),Gross_Mthly_Rent*((1+Ann_Income_Growth)^(AB2-1)),0)</f>
        <v>1236</v>
      </c>
      <c r="AC12" s="55">
        <f>IF(AND(AC3&gt;'Inputs &amp; Summary'!$F$11,AC3&lt;=('Inputs &amp; Summary'!$F$14)),Gross_Mthly_Rent*((1+Ann_Income_Growth)^(AC2-1)),0)</f>
        <v>1273.08</v>
      </c>
      <c r="AD12" s="55">
        <f>IF(AND(AD3&gt;'Inputs &amp; Summary'!$F$11,AD3&lt;=('Inputs &amp; Summary'!$F$14)),Gross_Mthly_Rent*((1+Ann_Income_Growth)^(AD2-1)),0)</f>
        <v>1273.08</v>
      </c>
      <c r="AE12" s="55">
        <f>IF(AND(AE3&gt;'Inputs &amp; Summary'!$F$11,AE3&lt;=('Inputs &amp; Summary'!$F$14)),Gross_Mthly_Rent*((1+Ann_Income_Growth)^(AE2-1)),0)</f>
        <v>1273.08</v>
      </c>
      <c r="AF12" s="55">
        <f>IF(AND(AF3&gt;'Inputs &amp; Summary'!$F$11,AF3&lt;=('Inputs &amp; Summary'!$F$14)),Gross_Mthly_Rent*((1+Ann_Income_Growth)^(AF2-1)),0)</f>
        <v>1273.08</v>
      </c>
      <c r="AG12" s="55">
        <f>IF(AND(AG3&gt;'Inputs &amp; Summary'!$F$11,AG3&lt;=('Inputs &amp; Summary'!$F$14)),Gross_Mthly_Rent*((1+Ann_Income_Growth)^(AG2-1)),0)</f>
        <v>1273.08</v>
      </c>
      <c r="AH12" s="55">
        <f>IF(AND(AH3&gt;'Inputs &amp; Summary'!$F$11,AH3&lt;=('Inputs &amp; Summary'!$F$14)),Gross_Mthly_Rent*((1+Ann_Income_Growth)^(AH2-1)),0)</f>
        <v>1273.08</v>
      </c>
      <c r="AI12" s="55">
        <f>IF(AND(AI3&gt;'Inputs &amp; Summary'!$F$11,AI3&lt;=('Inputs &amp; Summary'!$F$14)),Gross_Mthly_Rent*((1+Ann_Income_Growth)^(AI2-1)),0)</f>
        <v>1273.08</v>
      </c>
      <c r="AJ12" s="55">
        <f>IF(AND(AJ3&gt;'Inputs &amp; Summary'!$F$11,AJ3&lt;=('Inputs &amp; Summary'!$F$14)),Gross_Mthly_Rent*((1+Ann_Income_Growth)^(AJ2-1)),0)</f>
        <v>1273.08</v>
      </c>
      <c r="AK12" s="55">
        <f>IF(AND(AK3&gt;'Inputs &amp; Summary'!$F$11,AK3&lt;=('Inputs &amp; Summary'!$F$14)),Gross_Mthly_Rent*((1+Ann_Income_Growth)^(AK2-1)),0)</f>
        <v>1273.08</v>
      </c>
      <c r="AL12" s="55">
        <f>IF(AND(AL3&gt;'Inputs &amp; Summary'!$F$11,AL3&lt;=('Inputs &amp; Summary'!$F$14)),Gross_Mthly_Rent*((1+Ann_Income_Growth)^(AL2-1)),0)</f>
        <v>1273.08</v>
      </c>
      <c r="AM12" s="55">
        <f>IF(AND(AM3&gt;'Inputs &amp; Summary'!$F$11,AM3&lt;=('Inputs &amp; Summary'!$F$14)),Gross_Mthly_Rent*((1+Ann_Income_Growth)^(AM2-1)),0)</f>
        <v>1273.08</v>
      </c>
      <c r="AN12" s="55">
        <f>IF(AND(AN3&gt;'Inputs &amp; Summary'!$F$11,AN3&lt;=('Inputs &amp; Summary'!$F$14)),Gross_Mthly_Rent*((1+Ann_Income_Growth)^(AN2-1)),0)</f>
        <v>1273.08</v>
      </c>
      <c r="AO12" s="55">
        <f>IF(AND(AO3&gt;'Inputs &amp; Summary'!$F$11,AO3&lt;=('Inputs &amp; Summary'!$F$14)),Gross_Mthly_Rent*((1+Ann_Income_Growth)^(AO2-1)),0)</f>
        <v>0</v>
      </c>
      <c r="AP12" s="55">
        <f>IF(AND(AP3&gt;'Inputs &amp; Summary'!$F$11,AP3&lt;=('Inputs &amp; Summary'!$F$14)),Gross_Mthly_Rent*((1+Ann_Income_Growth)^(AP2-1)),0)</f>
        <v>0</v>
      </c>
      <c r="AQ12" s="55">
        <f>IF(AND(AQ3&gt;'Inputs &amp; Summary'!$F$11,AQ3&lt;=('Inputs &amp; Summary'!$F$14)),Gross_Mthly_Rent*((1+Ann_Income_Growth)^(AQ2-1)),0)</f>
        <v>0</v>
      </c>
      <c r="AR12" s="55">
        <f>IF(AND(AR3&gt;'Inputs &amp; Summary'!$F$11,AR3&lt;=('Inputs &amp; Summary'!$F$14)),Gross_Mthly_Rent*((1+Ann_Income_Growth)^(AR2-1)),0)</f>
        <v>0</v>
      </c>
      <c r="AS12" s="55">
        <f>IF(AND(AS3&gt;'Inputs &amp; Summary'!$F$11,AS3&lt;=('Inputs &amp; Summary'!$F$14)),Gross_Mthly_Rent*((1+Ann_Income_Growth)^(AS2-1)),0)</f>
        <v>0</v>
      </c>
      <c r="AT12" s="55">
        <f>IF(AND(AT3&gt;'Inputs &amp; Summary'!$F$11,AT3&lt;=('Inputs &amp; Summary'!$F$14)),Gross_Mthly_Rent*((1+Ann_Income_Growth)^(AT2-1)),0)</f>
        <v>0</v>
      </c>
      <c r="AU12" s="55">
        <f>IF(AND(AU3&gt;'Inputs &amp; Summary'!$F$11,AU3&lt;=('Inputs &amp; Summary'!$F$14)),Gross_Mthly_Rent*((1+Ann_Income_Growth)^(AU2-1)),0)</f>
        <v>0</v>
      </c>
      <c r="AV12" s="55">
        <f>IF(AND(AV3&gt;'Inputs &amp; Summary'!$F$11,AV3&lt;=('Inputs &amp; Summary'!$F$14)),Gross_Mthly_Rent*((1+Ann_Income_Growth)^(AV2-1)),0)</f>
        <v>0</v>
      </c>
      <c r="AW12" s="55">
        <f>IF(AND(AW3&gt;'Inputs &amp; Summary'!$F$11,AW3&lt;=('Inputs &amp; Summary'!$F$14)),Gross_Mthly_Rent*((1+Ann_Income_Growth)^(AW2-1)),0)</f>
        <v>0</v>
      </c>
      <c r="AX12" s="55">
        <f>IF(AND(AX3&gt;'Inputs &amp; Summary'!$F$11,AX3&lt;=('Inputs &amp; Summary'!$F$14)),Gross_Mthly_Rent*((1+Ann_Income_Growth)^(AX2-1)),0)</f>
        <v>0</v>
      </c>
      <c r="AY12" s="55">
        <f>IF(AND(AY3&gt;'Inputs &amp; Summary'!$F$11,AY3&lt;=('Inputs &amp; Summary'!$F$14)),Gross_Mthly_Rent*((1+Ann_Income_Growth)^(AY2-1)),0)</f>
        <v>0</v>
      </c>
      <c r="AZ12" s="55">
        <f>IF(AND(AZ3&gt;'Inputs &amp; Summary'!$F$11,AZ3&lt;=('Inputs &amp; Summary'!$F$14)),Gross_Mthly_Rent*((1+Ann_Income_Growth)^(AZ2-1)),0)</f>
        <v>0</v>
      </c>
      <c r="BA12" s="55">
        <f>IF(AND(BA3&gt;'Inputs &amp; Summary'!$F$11,BA3&lt;=('Inputs &amp; Summary'!$F$14)),Gross_Mthly_Rent*((1+Ann_Income_Growth)^(BA2-1)),0)</f>
        <v>0</v>
      </c>
      <c r="BB12" s="55">
        <f>IF(AND(BB3&gt;'Inputs &amp; Summary'!$F$11,BB3&lt;=('Inputs &amp; Summary'!$F$14)),Gross_Mthly_Rent*((1+Ann_Income_Growth)^(BB2-1)),0)</f>
        <v>0</v>
      </c>
      <c r="BC12" s="55">
        <f>IF(AND(BC3&gt;'Inputs &amp; Summary'!$F$11,BC3&lt;=('Inputs &amp; Summary'!$F$14)),Gross_Mthly_Rent*((1+Ann_Income_Growth)^(BC2-1)),0)</f>
        <v>0</v>
      </c>
      <c r="BD12" s="55">
        <f>IF(AND(BD3&gt;'Inputs &amp; Summary'!$F$11,BD3&lt;=('Inputs &amp; Summary'!$F$14)),Gross_Mthly_Rent*((1+Ann_Income_Growth)^(BD2-1)),0)</f>
        <v>0</v>
      </c>
      <c r="BE12" s="55">
        <f>IF(AND(BE3&gt;'Inputs &amp; Summary'!$F$11,BE3&lt;=('Inputs &amp; Summary'!$F$14)),Gross_Mthly_Rent*((1+Ann_Income_Growth)^(BE2-1)),0)</f>
        <v>0</v>
      </c>
      <c r="BF12" s="55">
        <f>IF(AND(BF3&gt;'Inputs &amp; Summary'!$F$11,BF3&lt;=('Inputs &amp; Summary'!$F$14)),Gross_Mthly_Rent*((1+Ann_Income_Growth)^(BF2-1)),0)</f>
        <v>0</v>
      </c>
      <c r="BG12" s="55">
        <f>IF(AND(BG3&gt;'Inputs &amp; Summary'!$F$11,BG3&lt;=('Inputs &amp; Summary'!$F$14)),Gross_Mthly_Rent*((1+Ann_Income_Growth)^(BG2-1)),0)</f>
        <v>0</v>
      </c>
      <c r="BH12" s="55">
        <f>IF(AND(BH3&gt;'Inputs &amp; Summary'!$F$11,BH3&lt;=('Inputs &amp; Summary'!$F$14)),Gross_Mthly_Rent*((1+Ann_Income_Growth)^(BH2-1)),0)</f>
        <v>0</v>
      </c>
      <c r="BI12" s="55">
        <f>IF(AND(BI3&gt;'Inputs &amp; Summary'!$F$11,BI3&lt;=('Inputs &amp; Summary'!$F$14)),Gross_Mthly_Rent*((1+Ann_Income_Growth)^(BI2-1)),0)</f>
        <v>0</v>
      </c>
      <c r="BJ12" s="55">
        <f>IF(AND(BJ3&gt;'Inputs &amp; Summary'!$F$11,BJ3&lt;=('Inputs &amp; Summary'!$F$14)),Gross_Mthly_Rent*((1+Ann_Income_Growth)^(BJ2-1)),0)</f>
        <v>0</v>
      </c>
      <c r="BK12" s="55">
        <f>IF(AND(BK3&gt;'Inputs &amp; Summary'!$F$11,BK3&lt;=('Inputs &amp; Summary'!$F$14)),Gross_Mthly_Rent*((1+Ann_Income_Growth)^(BK2-1)),0)</f>
        <v>0</v>
      </c>
      <c r="BL12" s="55">
        <f>IF(AND(BL3&gt;'Inputs &amp; Summary'!$F$11,BL3&lt;=('Inputs &amp; Summary'!$F$14)),Gross_Mthly_Rent*((1+Ann_Income_Growth)^(BL2-1)),0)</f>
        <v>0</v>
      </c>
    </row>
    <row r="13" spans="2:64" x14ac:dyDescent="0.2">
      <c r="C13" s="36" t="s">
        <v>80</v>
      </c>
      <c r="E13" s="55">
        <f t="shared" ref="E13" si="67">IF(E12&gt;0,-Vacancy_Percentage*Gross_Mthly_Rent,0)</f>
        <v>0</v>
      </c>
      <c r="F13" s="55">
        <f t="shared" ref="F13:BL13" si="68">IF(F12&gt;0,-Vacancy_Percentage*Gross_Mthly_Rent,0)</f>
        <v>0</v>
      </c>
      <c r="G13" s="55">
        <f t="shared" si="68"/>
        <v>-98.630136986301366</v>
      </c>
      <c r="H13" s="55">
        <f t="shared" si="68"/>
        <v>-98.630136986301366</v>
      </c>
      <c r="I13" s="55">
        <f t="shared" si="68"/>
        <v>-98.630136986301366</v>
      </c>
      <c r="J13" s="55">
        <f t="shared" si="68"/>
        <v>-98.630136986301366</v>
      </c>
      <c r="K13" s="55">
        <f t="shared" si="68"/>
        <v>-98.630136986301366</v>
      </c>
      <c r="L13" s="55">
        <f t="shared" si="68"/>
        <v>-98.630136986301366</v>
      </c>
      <c r="M13" s="55">
        <f t="shared" si="68"/>
        <v>-98.630136986301366</v>
      </c>
      <c r="N13" s="55">
        <f t="shared" si="68"/>
        <v>-98.630136986301366</v>
      </c>
      <c r="O13" s="55">
        <f t="shared" si="68"/>
        <v>-98.630136986301366</v>
      </c>
      <c r="P13" s="55">
        <f t="shared" si="68"/>
        <v>-98.630136986301366</v>
      </c>
      <c r="Q13" s="55">
        <f t="shared" si="68"/>
        <v>-98.630136986301366</v>
      </c>
      <c r="R13" s="55">
        <f t="shared" si="68"/>
        <v>-98.630136986301366</v>
      </c>
      <c r="S13" s="55">
        <f t="shared" si="68"/>
        <v>-98.630136986301366</v>
      </c>
      <c r="T13" s="55">
        <f t="shared" si="68"/>
        <v>-98.630136986301366</v>
      </c>
      <c r="U13" s="55">
        <f t="shared" si="68"/>
        <v>-98.630136986301366</v>
      </c>
      <c r="V13" s="55">
        <f t="shared" si="68"/>
        <v>-98.630136986301366</v>
      </c>
      <c r="W13" s="55">
        <f t="shared" si="68"/>
        <v>-98.630136986301366</v>
      </c>
      <c r="X13" s="55">
        <f t="shared" si="68"/>
        <v>-98.630136986301366</v>
      </c>
      <c r="Y13" s="55">
        <f t="shared" si="68"/>
        <v>-98.630136986301366</v>
      </c>
      <c r="Z13" s="55">
        <f t="shared" si="68"/>
        <v>-98.630136986301366</v>
      </c>
      <c r="AA13" s="55">
        <f t="shared" si="68"/>
        <v>-98.630136986301366</v>
      </c>
      <c r="AB13" s="55">
        <f t="shared" si="68"/>
        <v>-98.630136986301366</v>
      </c>
      <c r="AC13" s="55">
        <f t="shared" si="68"/>
        <v>-98.630136986301366</v>
      </c>
      <c r="AD13" s="55">
        <f t="shared" si="68"/>
        <v>-98.630136986301366</v>
      </c>
      <c r="AE13" s="55">
        <f t="shared" si="68"/>
        <v>-98.630136986301366</v>
      </c>
      <c r="AF13" s="55">
        <f t="shared" si="68"/>
        <v>-98.630136986301366</v>
      </c>
      <c r="AG13" s="55">
        <f t="shared" si="68"/>
        <v>-98.630136986301366</v>
      </c>
      <c r="AH13" s="55">
        <f t="shared" si="68"/>
        <v>-98.630136986301366</v>
      </c>
      <c r="AI13" s="55">
        <f t="shared" si="68"/>
        <v>-98.630136986301366</v>
      </c>
      <c r="AJ13" s="55">
        <f t="shared" si="68"/>
        <v>-98.630136986301366</v>
      </c>
      <c r="AK13" s="55">
        <f t="shared" si="68"/>
        <v>-98.630136986301366</v>
      </c>
      <c r="AL13" s="55">
        <f t="shared" si="68"/>
        <v>-98.630136986301366</v>
      </c>
      <c r="AM13" s="55">
        <f t="shared" si="68"/>
        <v>-98.630136986301366</v>
      </c>
      <c r="AN13" s="55">
        <f t="shared" si="68"/>
        <v>-98.630136986301366</v>
      </c>
      <c r="AO13" s="55">
        <f t="shared" si="68"/>
        <v>0</v>
      </c>
      <c r="AP13" s="55">
        <f t="shared" si="68"/>
        <v>0</v>
      </c>
      <c r="AQ13" s="55">
        <f t="shared" si="68"/>
        <v>0</v>
      </c>
      <c r="AR13" s="55">
        <f t="shared" si="68"/>
        <v>0</v>
      </c>
      <c r="AS13" s="55">
        <f t="shared" si="68"/>
        <v>0</v>
      </c>
      <c r="AT13" s="55">
        <f t="shared" si="68"/>
        <v>0</v>
      </c>
      <c r="AU13" s="55">
        <f t="shared" si="68"/>
        <v>0</v>
      </c>
      <c r="AV13" s="55">
        <f t="shared" si="68"/>
        <v>0</v>
      </c>
      <c r="AW13" s="55">
        <f t="shared" si="68"/>
        <v>0</v>
      </c>
      <c r="AX13" s="55">
        <f t="shared" si="68"/>
        <v>0</v>
      </c>
      <c r="AY13" s="55">
        <f t="shared" si="68"/>
        <v>0</v>
      </c>
      <c r="AZ13" s="55">
        <f t="shared" si="68"/>
        <v>0</v>
      </c>
      <c r="BA13" s="55">
        <f t="shared" si="68"/>
        <v>0</v>
      </c>
      <c r="BB13" s="55">
        <f t="shared" si="68"/>
        <v>0</v>
      </c>
      <c r="BC13" s="55">
        <f t="shared" si="68"/>
        <v>0</v>
      </c>
      <c r="BD13" s="55">
        <f t="shared" si="68"/>
        <v>0</v>
      </c>
      <c r="BE13" s="55">
        <f t="shared" si="68"/>
        <v>0</v>
      </c>
      <c r="BF13" s="55">
        <f t="shared" si="68"/>
        <v>0</v>
      </c>
      <c r="BG13" s="55">
        <f t="shared" si="68"/>
        <v>0</v>
      </c>
      <c r="BH13" s="55">
        <f t="shared" si="68"/>
        <v>0</v>
      </c>
      <c r="BI13" s="55">
        <f t="shared" si="68"/>
        <v>0</v>
      </c>
      <c r="BJ13" s="55">
        <f t="shared" si="68"/>
        <v>0</v>
      </c>
      <c r="BK13" s="55">
        <f t="shared" si="68"/>
        <v>0</v>
      </c>
      <c r="BL13" s="55">
        <f t="shared" si="68"/>
        <v>0</v>
      </c>
    </row>
    <row r="14" spans="2:64" x14ac:dyDescent="0.2">
      <c r="C14" s="40" t="s">
        <v>83</v>
      </c>
      <c r="D14" s="39"/>
      <c r="E14" s="57">
        <f t="shared" ref="E14" si="69">SUM(E12:E13)</f>
        <v>0</v>
      </c>
      <c r="F14" s="57">
        <f t="shared" ref="F14:BL14" si="70">SUM(F12:F13)</f>
        <v>0</v>
      </c>
      <c r="G14" s="57">
        <f t="shared" si="70"/>
        <v>1101.3698630136987</v>
      </c>
      <c r="H14" s="57">
        <f t="shared" si="70"/>
        <v>1101.3698630136987</v>
      </c>
      <c r="I14" s="57">
        <f t="shared" si="70"/>
        <v>1101.3698630136987</v>
      </c>
      <c r="J14" s="57">
        <f t="shared" si="70"/>
        <v>1101.3698630136987</v>
      </c>
      <c r="K14" s="57">
        <f t="shared" si="70"/>
        <v>1101.3698630136987</v>
      </c>
      <c r="L14" s="57">
        <f t="shared" si="70"/>
        <v>1101.3698630136987</v>
      </c>
      <c r="M14" s="57">
        <f t="shared" si="70"/>
        <v>1101.3698630136987</v>
      </c>
      <c r="N14" s="57">
        <f t="shared" si="70"/>
        <v>1101.3698630136987</v>
      </c>
      <c r="O14" s="57">
        <f t="shared" si="70"/>
        <v>1101.3698630136987</v>
      </c>
      <c r="P14" s="57">
        <f t="shared" si="70"/>
        <v>1101.3698630136987</v>
      </c>
      <c r="Q14" s="57">
        <f t="shared" si="70"/>
        <v>1137.3698630136987</v>
      </c>
      <c r="R14" s="57">
        <f t="shared" si="70"/>
        <v>1137.3698630136987</v>
      </c>
      <c r="S14" s="57">
        <f t="shared" si="70"/>
        <v>1137.3698630136987</v>
      </c>
      <c r="T14" s="57">
        <f t="shared" si="70"/>
        <v>1137.3698630136987</v>
      </c>
      <c r="U14" s="57">
        <f t="shared" si="70"/>
        <v>1137.3698630136987</v>
      </c>
      <c r="V14" s="57">
        <f t="shared" si="70"/>
        <v>1137.3698630136987</v>
      </c>
      <c r="W14" s="57">
        <f t="shared" si="70"/>
        <v>1137.3698630136987</v>
      </c>
      <c r="X14" s="57">
        <f t="shared" si="70"/>
        <v>1137.3698630136987</v>
      </c>
      <c r="Y14" s="57">
        <f t="shared" si="70"/>
        <v>1137.3698630136987</v>
      </c>
      <c r="Z14" s="57">
        <f t="shared" si="70"/>
        <v>1137.3698630136987</v>
      </c>
      <c r="AA14" s="57">
        <f t="shared" si="70"/>
        <v>1137.3698630136987</v>
      </c>
      <c r="AB14" s="57">
        <f t="shared" si="70"/>
        <v>1137.3698630136987</v>
      </c>
      <c r="AC14" s="57">
        <f t="shared" si="70"/>
        <v>1174.4498630136986</v>
      </c>
      <c r="AD14" s="57">
        <f t="shared" si="70"/>
        <v>1174.4498630136986</v>
      </c>
      <c r="AE14" s="57">
        <f t="shared" si="70"/>
        <v>1174.4498630136986</v>
      </c>
      <c r="AF14" s="57">
        <f t="shared" si="70"/>
        <v>1174.4498630136986</v>
      </c>
      <c r="AG14" s="57">
        <f t="shared" si="70"/>
        <v>1174.4498630136986</v>
      </c>
      <c r="AH14" s="57">
        <f t="shared" si="70"/>
        <v>1174.4498630136986</v>
      </c>
      <c r="AI14" s="57">
        <f t="shared" si="70"/>
        <v>1174.4498630136986</v>
      </c>
      <c r="AJ14" s="57">
        <f t="shared" si="70"/>
        <v>1174.4498630136986</v>
      </c>
      <c r="AK14" s="57">
        <f t="shared" si="70"/>
        <v>1174.4498630136986</v>
      </c>
      <c r="AL14" s="57">
        <f t="shared" si="70"/>
        <v>1174.4498630136986</v>
      </c>
      <c r="AM14" s="57">
        <f t="shared" si="70"/>
        <v>1174.4498630136986</v>
      </c>
      <c r="AN14" s="57">
        <f t="shared" si="70"/>
        <v>1174.4498630136986</v>
      </c>
      <c r="AO14" s="57">
        <f t="shared" si="70"/>
        <v>0</v>
      </c>
      <c r="AP14" s="57">
        <f t="shared" si="70"/>
        <v>0</v>
      </c>
      <c r="AQ14" s="57">
        <f t="shared" si="70"/>
        <v>0</v>
      </c>
      <c r="AR14" s="57">
        <f t="shared" si="70"/>
        <v>0</v>
      </c>
      <c r="AS14" s="57">
        <f t="shared" si="70"/>
        <v>0</v>
      </c>
      <c r="AT14" s="57">
        <f t="shared" si="70"/>
        <v>0</v>
      </c>
      <c r="AU14" s="57">
        <f t="shared" si="70"/>
        <v>0</v>
      </c>
      <c r="AV14" s="57">
        <f t="shared" si="70"/>
        <v>0</v>
      </c>
      <c r="AW14" s="57">
        <f t="shared" si="70"/>
        <v>0</v>
      </c>
      <c r="AX14" s="57">
        <f t="shared" si="70"/>
        <v>0</v>
      </c>
      <c r="AY14" s="57">
        <f t="shared" si="70"/>
        <v>0</v>
      </c>
      <c r="AZ14" s="57">
        <f t="shared" si="70"/>
        <v>0</v>
      </c>
      <c r="BA14" s="57">
        <f t="shared" si="70"/>
        <v>0</v>
      </c>
      <c r="BB14" s="57">
        <f t="shared" si="70"/>
        <v>0</v>
      </c>
      <c r="BC14" s="57">
        <f t="shared" si="70"/>
        <v>0</v>
      </c>
      <c r="BD14" s="57">
        <f t="shared" si="70"/>
        <v>0</v>
      </c>
      <c r="BE14" s="57">
        <f t="shared" si="70"/>
        <v>0</v>
      </c>
      <c r="BF14" s="57">
        <f t="shared" si="70"/>
        <v>0</v>
      </c>
      <c r="BG14" s="57">
        <f t="shared" si="70"/>
        <v>0</v>
      </c>
      <c r="BH14" s="57">
        <f t="shared" si="70"/>
        <v>0</v>
      </c>
      <c r="BI14" s="57">
        <f t="shared" si="70"/>
        <v>0</v>
      </c>
      <c r="BJ14" s="57">
        <f t="shared" si="70"/>
        <v>0</v>
      </c>
      <c r="BK14" s="57">
        <f t="shared" si="70"/>
        <v>0</v>
      </c>
      <c r="BL14" s="57">
        <f t="shared" si="70"/>
        <v>0</v>
      </c>
    </row>
    <row r="15" spans="2:64" x14ac:dyDescent="0.2"/>
    <row r="16" spans="2:64" x14ac:dyDescent="0.2">
      <c r="C16" s="36" t="s">
        <v>84</v>
      </c>
      <c r="D16" s="55">
        <f>IF(AND(D3&gt;0,D3&lt;=('Inputs &amp; Summary'!$F$14))*D3&gt;0,-Property_Tax*((1+Ann_Expense_Growth)^(D2-1)),0)</f>
        <v>0</v>
      </c>
      <c r="E16" s="55">
        <f>IF(AND(E3&gt;0,E3&lt;=('Inputs &amp; Summary'!$F$14))*E3&gt;0,-Property_Tax*((1+Ann_Expense_Growth)^(E2-1)),0)</f>
        <v>-50</v>
      </c>
      <c r="F16" s="55">
        <f>IF(AND(F3&gt;0,F3&lt;=('Inputs &amp; Summary'!$F$14))*F3&gt;0,-Property_Tax*((1+Ann_Expense_Growth)^(F2-1)),0)</f>
        <v>-50</v>
      </c>
      <c r="G16" s="55">
        <f>IF(AND(G3&gt;0,G3&lt;=('Inputs &amp; Summary'!$F$14))*G3&gt;0,-Property_Tax*((1+Ann_Expense_Growth)^(G2-1)),0)</f>
        <v>-50</v>
      </c>
      <c r="H16" s="55">
        <f>IF(AND(H3&gt;0,H3&lt;=('Inputs &amp; Summary'!$F$14))*H3&gt;0,-Property_Tax*((1+Ann_Expense_Growth)^(H2-1)),0)</f>
        <v>-50</v>
      </c>
      <c r="I16" s="55">
        <f>IF(AND(I3&gt;0,I3&lt;=('Inputs &amp; Summary'!$F$14))*I3&gt;0,-Property_Tax*((1+Ann_Expense_Growth)^(I2-1)),0)</f>
        <v>-50</v>
      </c>
      <c r="J16" s="55">
        <f>IF(AND(J3&gt;0,J3&lt;=('Inputs &amp; Summary'!$F$14))*J3&gt;0,-Property_Tax*((1+Ann_Expense_Growth)^(J2-1)),0)</f>
        <v>-50</v>
      </c>
      <c r="K16" s="55">
        <f>IF(AND(K3&gt;0,K3&lt;=('Inputs &amp; Summary'!$F$14))*K3&gt;0,-Property_Tax*((1+Ann_Expense_Growth)^(K2-1)),0)</f>
        <v>-50</v>
      </c>
      <c r="L16" s="55">
        <f>IF(AND(L3&gt;0,L3&lt;=('Inputs &amp; Summary'!$F$14))*L3&gt;0,-Property_Tax*((1+Ann_Expense_Growth)^(L2-1)),0)</f>
        <v>-50</v>
      </c>
      <c r="M16" s="55">
        <f>IF(AND(M3&gt;0,M3&lt;=('Inputs &amp; Summary'!$F$14))*M3&gt;0,-Property_Tax*((1+Ann_Expense_Growth)^(M2-1)),0)</f>
        <v>-50</v>
      </c>
      <c r="N16" s="55">
        <f>IF(AND(N3&gt;0,N3&lt;=('Inputs &amp; Summary'!$F$14))*N3&gt;0,-Property_Tax*((1+Ann_Expense_Growth)^(N2-1)),0)</f>
        <v>-50</v>
      </c>
      <c r="O16" s="55">
        <f>IF(AND(O3&gt;0,O3&lt;=('Inputs &amp; Summary'!$F$14))*O3&gt;0,-Property_Tax*((1+Ann_Expense_Growth)^(O2-1)),0)</f>
        <v>-50</v>
      </c>
      <c r="P16" s="55">
        <f>IF(AND(P3&gt;0,P3&lt;=('Inputs &amp; Summary'!$F$14))*P3&gt;0,-Property_Tax*((1+Ann_Expense_Growth)^(P2-1)),0)</f>
        <v>-50</v>
      </c>
      <c r="Q16" s="55">
        <f>IF(AND(Q3&gt;0,Q3&lt;=('Inputs &amp; Summary'!$F$14))*Q3&gt;0,-Property_Tax*((1+Ann_Expense_Growth)^(Q2-1)),0)</f>
        <v>-51.249999999999993</v>
      </c>
      <c r="R16" s="55">
        <f>IF(AND(R3&gt;0,R3&lt;=('Inputs &amp; Summary'!$F$14))*R3&gt;0,-Property_Tax*((1+Ann_Expense_Growth)^(R2-1)),0)</f>
        <v>-51.249999999999993</v>
      </c>
      <c r="S16" s="55">
        <f>IF(AND(S3&gt;0,S3&lt;=('Inputs &amp; Summary'!$F$14))*S3&gt;0,-Property_Tax*((1+Ann_Expense_Growth)^(S2-1)),0)</f>
        <v>-51.249999999999993</v>
      </c>
      <c r="T16" s="55">
        <f>IF(AND(T3&gt;0,T3&lt;=('Inputs &amp; Summary'!$F$14))*T3&gt;0,-Property_Tax*((1+Ann_Expense_Growth)^(T2-1)),0)</f>
        <v>-51.249999999999993</v>
      </c>
      <c r="U16" s="55">
        <f>IF(AND(U3&gt;0,U3&lt;=('Inputs &amp; Summary'!$F$14))*U3&gt;0,-Property_Tax*((1+Ann_Expense_Growth)^(U2-1)),0)</f>
        <v>-51.249999999999993</v>
      </c>
      <c r="V16" s="55">
        <f>IF(AND(V3&gt;0,V3&lt;=('Inputs &amp; Summary'!$F$14))*V3&gt;0,-Property_Tax*((1+Ann_Expense_Growth)^(V2-1)),0)</f>
        <v>-51.249999999999993</v>
      </c>
      <c r="W16" s="55">
        <f>IF(AND(W3&gt;0,W3&lt;=('Inputs &amp; Summary'!$F$14))*W3&gt;0,-Property_Tax*((1+Ann_Expense_Growth)^(W2-1)),0)</f>
        <v>-51.249999999999993</v>
      </c>
      <c r="X16" s="55">
        <f>IF(AND(X3&gt;0,X3&lt;=('Inputs &amp; Summary'!$F$14))*X3&gt;0,-Property_Tax*((1+Ann_Expense_Growth)^(X2-1)),0)</f>
        <v>-51.249999999999993</v>
      </c>
      <c r="Y16" s="55">
        <f>IF(AND(Y3&gt;0,Y3&lt;=('Inputs &amp; Summary'!$F$14))*Y3&gt;0,-Property_Tax*((1+Ann_Expense_Growth)^(Y2-1)),0)</f>
        <v>-51.249999999999993</v>
      </c>
      <c r="Z16" s="55">
        <f>IF(AND(Z3&gt;0,Z3&lt;=('Inputs &amp; Summary'!$F$14))*Z3&gt;0,-Property_Tax*((1+Ann_Expense_Growth)^(Z2-1)),0)</f>
        <v>-51.249999999999993</v>
      </c>
      <c r="AA16" s="55">
        <f>IF(AND(AA3&gt;0,AA3&lt;=('Inputs &amp; Summary'!$F$14))*AA3&gt;0,-Property_Tax*((1+Ann_Expense_Growth)^(AA2-1)),0)</f>
        <v>-51.249999999999993</v>
      </c>
      <c r="AB16" s="55">
        <f>IF(AND(AB3&gt;0,AB3&lt;=('Inputs &amp; Summary'!$F$14))*AB3&gt;0,-Property_Tax*((1+Ann_Expense_Growth)^(AB2-1)),0)</f>
        <v>-51.249999999999993</v>
      </c>
      <c r="AC16" s="55">
        <f>IF(AND(AC3&gt;0,AC3&lt;=('Inputs &amp; Summary'!$F$14))*AC3&gt;0,-Property_Tax*((1+Ann_Expense_Growth)^(AC2-1)),0)</f>
        <v>-52.531249999999993</v>
      </c>
      <c r="AD16" s="55">
        <f>IF(AND(AD3&gt;0,AD3&lt;=('Inputs &amp; Summary'!$F$14))*AD3&gt;0,-Property_Tax*((1+Ann_Expense_Growth)^(AD2-1)),0)</f>
        <v>-52.531249999999993</v>
      </c>
      <c r="AE16" s="55">
        <f>IF(AND(AE3&gt;0,AE3&lt;=('Inputs &amp; Summary'!$F$14))*AE3&gt;0,-Property_Tax*((1+Ann_Expense_Growth)^(AE2-1)),0)</f>
        <v>-52.531249999999993</v>
      </c>
      <c r="AF16" s="55">
        <f>IF(AND(AF3&gt;0,AF3&lt;=('Inputs &amp; Summary'!$F$14))*AF3&gt;0,-Property_Tax*((1+Ann_Expense_Growth)^(AF2-1)),0)</f>
        <v>-52.531249999999993</v>
      </c>
      <c r="AG16" s="55">
        <f>IF(AND(AG3&gt;0,AG3&lt;=('Inputs &amp; Summary'!$F$14))*AG3&gt;0,-Property_Tax*((1+Ann_Expense_Growth)^(AG2-1)),0)</f>
        <v>-52.531249999999993</v>
      </c>
      <c r="AH16" s="55">
        <f>IF(AND(AH3&gt;0,AH3&lt;=('Inputs &amp; Summary'!$F$14))*AH3&gt;0,-Property_Tax*((1+Ann_Expense_Growth)^(AH2-1)),0)</f>
        <v>-52.531249999999993</v>
      </c>
      <c r="AI16" s="55">
        <f>IF(AND(AI3&gt;0,AI3&lt;=('Inputs &amp; Summary'!$F$14))*AI3&gt;0,-Property_Tax*((1+Ann_Expense_Growth)^(AI2-1)),0)</f>
        <v>-52.531249999999993</v>
      </c>
      <c r="AJ16" s="55">
        <f>IF(AND(AJ3&gt;0,AJ3&lt;=('Inputs &amp; Summary'!$F$14))*AJ3&gt;0,-Property_Tax*((1+Ann_Expense_Growth)^(AJ2-1)),0)</f>
        <v>-52.531249999999993</v>
      </c>
      <c r="AK16" s="55">
        <f>IF(AND(AK3&gt;0,AK3&lt;=('Inputs &amp; Summary'!$F$14))*AK3&gt;0,-Property_Tax*((1+Ann_Expense_Growth)^(AK2-1)),0)</f>
        <v>-52.531249999999993</v>
      </c>
      <c r="AL16" s="55">
        <f>IF(AND(AL3&gt;0,AL3&lt;=('Inputs &amp; Summary'!$F$14))*AL3&gt;0,-Property_Tax*((1+Ann_Expense_Growth)^(AL2-1)),0)</f>
        <v>-52.531249999999993</v>
      </c>
      <c r="AM16" s="55">
        <f>IF(AND(AM3&gt;0,AM3&lt;=('Inputs &amp; Summary'!$F$14))*AM3&gt;0,-Property_Tax*((1+Ann_Expense_Growth)^(AM2-1)),0)</f>
        <v>-52.531249999999993</v>
      </c>
      <c r="AN16" s="55">
        <f>IF(AND(AN3&gt;0,AN3&lt;=('Inputs &amp; Summary'!$F$14))*AN3&gt;0,-Property_Tax*((1+Ann_Expense_Growth)^(AN2-1)),0)</f>
        <v>-52.531249999999993</v>
      </c>
      <c r="AO16" s="55">
        <f>IF(AND(AO3&gt;0,AO3&lt;=('Inputs &amp; Summary'!$F$14))*AO3&gt;0,-Property_Tax*((1+Ann_Expense_Growth)^(AO2-1)),0)</f>
        <v>0</v>
      </c>
      <c r="AP16" s="55">
        <f>IF(AND(AP3&gt;0,AP3&lt;=('Inputs &amp; Summary'!$F$14))*AP3&gt;0,-Property_Tax*((1+Ann_Expense_Growth)^(AP2-1)),0)</f>
        <v>0</v>
      </c>
      <c r="AQ16" s="55">
        <f>IF(AND(AQ3&gt;0,AQ3&lt;=('Inputs &amp; Summary'!$F$14))*AQ3&gt;0,-Property_Tax*((1+Ann_Expense_Growth)^(AQ2-1)),0)</f>
        <v>0</v>
      </c>
      <c r="AR16" s="55">
        <f>IF(AND(AR3&gt;0,AR3&lt;=('Inputs &amp; Summary'!$F$14))*AR3&gt;0,-Property_Tax*((1+Ann_Expense_Growth)^(AR2-1)),0)</f>
        <v>0</v>
      </c>
      <c r="AS16" s="55">
        <f>IF(AND(AS3&gt;0,AS3&lt;=('Inputs &amp; Summary'!$F$14))*AS3&gt;0,-Property_Tax*((1+Ann_Expense_Growth)^(AS2-1)),0)</f>
        <v>0</v>
      </c>
      <c r="AT16" s="55">
        <f>IF(AND(AT3&gt;0,AT3&lt;=('Inputs &amp; Summary'!$F$14))*AT3&gt;0,-Property_Tax*((1+Ann_Expense_Growth)^(AT2-1)),0)</f>
        <v>0</v>
      </c>
      <c r="AU16" s="55">
        <f>IF(AND(AU3&gt;0,AU3&lt;=('Inputs &amp; Summary'!$F$14))*AU3&gt;0,-Property_Tax*((1+Ann_Expense_Growth)^(AU2-1)),0)</f>
        <v>0</v>
      </c>
      <c r="AV16" s="55">
        <f>IF(AND(AV3&gt;0,AV3&lt;=('Inputs &amp; Summary'!$F$14))*AV3&gt;0,-Property_Tax*((1+Ann_Expense_Growth)^(AV2-1)),0)</f>
        <v>0</v>
      </c>
      <c r="AW16" s="55">
        <f>IF(AND(AW3&gt;0,AW3&lt;=('Inputs &amp; Summary'!$F$14))*AW3&gt;0,-Property_Tax*((1+Ann_Expense_Growth)^(AW2-1)),0)</f>
        <v>0</v>
      </c>
      <c r="AX16" s="55">
        <f>IF(AND(AX3&gt;0,AX3&lt;=('Inputs &amp; Summary'!$F$14))*AX3&gt;0,-Property_Tax*((1+Ann_Expense_Growth)^(AX2-1)),0)</f>
        <v>0</v>
      </c>
      <c r="AY16" s="55">
        <f>IF(AND(AY3&gt;0,AY3&lt;=('Inputs &amp; Summary'!$F$14))*AY3&gt;0,-Property_Tax*((1+Ann_Expense_Growth)^(AY2-1)),0)</f>
        <v>0</v>
      </c>
      <c r="AZ16" s="55">
        <f>IF(AND(AZ3&gt;0,AZ3&lt;=('Inputs &amp; Summary'!$F$14))*AZ3&gt;0,-Property_Tax*((1+Ann_Expense_Growth)^(AZ2-1)),0)</f>
        <v>0</v>
      </c>
      <c r="BA16" s="55">
        <f>IF(AND(BA3&gt;0,BA3&lt;=('Inputs &amp; Summary'!$F$14))*BA3&gt;0,-Property_Tax*((1+Ann_Expense_Growth)^(BA2-1)),0)</f>
        <v>0</v>
      </c>
      <c r="BB16" s="55">
        <f>IF(AND(BB3&gt;0,BB3&lt;=('Inputs &amp; Summary'!$F$14))*BB3&gt;0,-Property_Tax*((1+Ann_Expense_Growth)^(BB2-1)),0)</f>
        <v>0</v>
      </c>
      <c r="BC16" s="55">
        <f>IF(AND(BC3&gt;0,BC3&lt;=('Inputs &amp; Summary'!$F$14))*BC3&gt;0,-Property_Tax*((1+Ann_Expense_Growth)^(BC2-1)),0)</f>
        <v>0</v>
      </c>
      <c r="BD16" s="55">
        <f>IF(AND(BD3&gt;0,BD3&lt;=('Inputs &amp; Summary'!$F$14))*BD3&gt;0,-Property_Tax*((1+Ann_Expense_Growth)^(BD2-1)),0)</f>
        <v>0</v>
      </c>
      <c r="BE16" s="55">
        <f>IF(AND(BE3&gt;0,BE3&lt;=('Inputs &amp; Summary'!$F$14))*BE3&gt;0,-Property_Tax*((1+Ann_Expense_Growth)^(BE2-1)),0)</f>
        <v>0</v>
      </c>
      <c r="BF16" s="55">
        <f>IF(AND(BF3&gt;0,BF3&lt;=('Inputs &amp; Summary'!$F$14))*BF3&gt;0,-Property_Tax*((1+Ann_Expense_Growth)^(BF2-1)),0)</f>
        <v>0</v>
      </c>
      <c r="BG16" s="55">
        <f>IF(AND(BG3&gt;0,BG3&lt;=('Inputs &amp; Summary'!$F$14))*BG3&gt;0,-Property_Tax*((1+Ann_Expense_Growth)^(BG2-1)),0)</f>
        <v>0</v>
      </c>
      <c r="BH16" s="55">
        <f>IF(AND(BH3&gt;0,BH3&lt;=('Inputs &amp; Summary'!$F$14))*BH3&gt;0,-Property_Tax*((1+Ann_Expense_Growth)^(BH2-1)),0)</f>
        <v>0</v>
      </c>
      <c r="BI16" s="55">
        <f>IF(AND(BI3&gt;0,BI3&lt;=('Inputs &amp; Summary'!$F$14))*BI3&gt;0,-Property_Tax*((1+Ann_Expense_Growth)^(BI2-1)),0)</f>
        <v>0</v>
      </c>
      <c r="BJ16" s="55">
        <f>IF(AND(BJ3&gt;0,BJ3&lt;=('Inputs &amp; Summary'!$F$14))*BJ3&gt;0,-Property_Tax*((1+Ann_Expense_Growth)^(BJ2-1)),0)</f>
        <v>0</v>
      </c>
      <c r="BK16" s="55">
        <f>IF(AND(BK3&gt;0,BK3&lt;=('Inputs &amp; Summary'!$F$14))*BK3&gt;0,-Property_Tax*((1+Ann_Expense_Growth)^(BK2-1)),0)</f>
        <v>0</v>
      </c>
      <c r="BL16" s="55">
        <f>IF(AND(BL3&gt;0,BL3&lt;=('Inputs &amp; Summary'!$F$14))*BL3&gt;0,-Property_Tax*((1+Ann_Expense_Growth)^(BL2-1)),0)</f>
        <v>0</v>
      </c>
    </row>
    <row r="17" spans="2:64" x14ac:dyDescent="0.2">
      <c r="C17" s="36" t="s">
        <v>85</v>
      </c>
      <c r="D17" s="55">
        <f>IF(AND(D3&gt;0,D3&lt;=('Inputs &amp; Summary'!$F$14)),-Insurance*((1+Ann_Expense_Growth)^(D2-1)),0)</f>
        <v>0</v>
      </c>
      <c r="E17" s="55">
        <f>IF(AND(E3&gt;0,E3&lt;=('Inputs &amp; Summary'!$F$14)),-Insurance*((1+Ann_Expense_Growth)^(E2-1)),0)</f>
        <v>-25</v>
      </c>
      <c r="F17" s="55">
        <f>IF(AND(F3&gt;0,F3&lt;=('Inputs &amp; Summary'!$F$14)),-Insurance*((1+Ann_Expense_Growth)^(F2-1)),0)</f>
        <v>-25</v>
      </c>
      <c r="G17" s="55">
        <f>IF(AND(G3&gt;0,G3&lt;=('Inputs &amp; Summary'!$F$14)),-Insurance*((1+Ann_Expense_Growth)^(G2-1)),0)</f>
        <v>-25</v>
      </c>
      <c r="H17" s="55">
        <f>IF(AND(H3&gt;0,H3&lt;=('Inputs &amp; Summary'!$F$14)),-Insurance*((1+Ann_Expense_Growth)^(H2-1)),0)</f>
        <v>-25</v>
      </c>
      <c r="I17" s="55">
        <f>IF(AND(I3&gt;0,I3&lt;=('Inputs &amp; Summary'!$F$14)),-Insurance*((1+Ann_Expense_Growth)^(I2-1)),0)</f>
        <v>-25</v>
      </c>
      <c r="J17" s="55">
        <f>IF(AND(J3&gt;0,J3&lt;=('Inputs &amp; Summary'!$F$14)),-Insurance*((1+Ann_Expense_Growth)^(J2-1)),0)</f>
        <v>-25</v>
      </c>
      <c r="K17" s="55">
        <f>IF(AND(K3&gt;0,K3&lt;=('Inputs &amp; Summary'!$F$14)),-Insurance*((1+Ann_Expense_Growth)^(K2-1)),0)</f>
        <v>-25</v>
      </c>
      <c r="L17" s="55">
        <f>IF(AND(L3&gt;0,L3&lt;=('Inputs &amp; Summary'!$F$14)),-Insurance*((1+Ann_Expense_Growth)^(L2-1)),0)</f>
        <v>-25</v>
      </c>
      <c r="M17" s="55">
        <f>IF(AND(M3&gt;0,M3&lt;=('Inputs &amp; Summary'!$F$14)),-Insurance*((1+Ann_Expense_Growth)^(M2-1)),0)</f>
        <v>-25</v>
      </c>
      <c r="N17" s="55">
        <f>IF(AND(N3&gt;0,N3&lt;=('Inputs &amp; Summary'!$F$14)),-Insurance*((1+Ann_Expense_Growth)^(N2-1)),0)</f>
        <v>-25</v>
      </c>
      <c r="O17" s="55">
        <f>IF(AND(O3&gt;0,O3&lt;=('Inputs &amp; Summary'!$F$14)),-Insurance*((1+Ann_Expense_Growth)^(O2-1)),0)</f>
        <v>-25</v>
      </c>
      <c r="P17" s="55">
        <f>IF(AND(P3&gt;0,P3&lt;=('Inputs &amp; Summary'!$F$14)),-Insurance*((1+Ann_Expense_Growth)^(P2-1)),0)</f>
        <v>-25</v>
      </c>
      <c r="Q17" s="55">
        <f>IF(AND(Q3&gt;0,Q3&lt;=('Inputs &amp; Summary'!$F$14)),-Insurance*((1+Ann_Expense_Growth)^(Q2-1)),0)</f>
        <v>-25.624999999999996</v>
      </c>
      <c r="R17" s="55">
        <f>IF(AND(R3&gt;0,R3&lt;=('Inputs &amp; Summary'!$F$14)),-Insurance*((1+Ann_Expense_Growth)^(R2-1)),0)</f>
        <v>-25.624999999999996</v>
      </c>
      <c r="S17" s="55">
        <f>IF(AND(S3&gt;0,S3&lt;=('Inputs &amp; Summary'!$F$14)),-Insurance*((1+Ann_Expense_Growth)^(S2-1)),0)</f>
        <v>-25.624999999999996</v>
      </c>
      <c r="T17" s="55">
        <f>IF(AND(T3&gt;0,T3&lt;=('Inputs &amp; Summary'!$F$14)),-Insurance*((1+Ann_Expense_Growth)^(T2-1)),0)</f>
        <v>-25.624999999999996</v>
      </c>
      <c r="U17" s="55">
        <f>IF(AND(U3&gt;0,U3&lt;=('Inputs &amp; Summary'!$F$14)),-Insurance*((1+Ann_Expense_Growth)^(U2-1)),0)</f>
        <v>-25.624999999999996</v>
      </c>
      <c r="V17" s="55">
        <f>IF(AND(V3&gt;0,V3&lt;=('Inputs &amp; Summary'!$F$14)),-Insurance*((1+Ann_Expense_Growth)^(V2-1)),0)</f>
        <v>-25.624999999999996</v>
      </c>
      <c r="W17" s="55">
        <f>IF(AND(W3&gt;0,W3&lt;=('Inputs &amp; Summary'!$F$14)),-Insurance*((1+Ann_Expense_Growth)^(W2-1)),0)</f>
        <v>-25.624999999999996</v>
      </c>
      <c r="X17" s="55">
        <f>IF(AND(X3&gt;0,X3&lt;=('Inputs &amp; Summary'!$F$14)),-Insurance*((1+Ann_Expense_Growth)^(X2-1)),0)</f>
        <v>-25.624999999999996</v>
      </c>
      <c r="Y17" s="55">
        <f>IF(AND(Y3&gt;0,Y3&lt;=('Inputs &amp; Summary'!$F$14)),-Insurance*((1+Ann_Expense_Growth)^(Y2-1)),0)</f>
        <v>-25.624999999999996</v>
      </c>
      <c r="Z17" s="55">
        <f>IF(AND(Z3&gt;0,Z3&lt;=('Inputs &amp; Summary'!$F$14)),-Insurance*((1+Ann_Expense_Growth)^(Z2-1)),0)</f>
        <v>-25.624999999999996</v>
      </c>
      <c r="AA17" s="55">
        <f>IF(AND(AA3&gt;0,AA3&lt;=('Inputs &amp; Summary'!$F$14)),-Insurance*((1+Ann_Expense_Growth)^(AA2-1)),0)</f>
        <v>-25.624999999999996</v>
      </c>
      <c r="AB17" s="55">
        <f>IF(AND(AB3&gt;0,AB3&lt;=('Inputs &amp; Summary'!$F$14)),-Insurance*((1+Ann_Expense_Growth)^(AB2-1)),0)</f>
        <v>-25.624999999999996</v>
      </c>
      <c r="AC17" s="55">
        <f>IF(AND(AC3&gt;0,AC3&lt;=('Inputs &amp; Summary'!$F$14)),-Insurance*((1+Ann_Expense_Growth)^(AC2-1)),0)</f>
        <v>-26.265624999999996</v>
      </c>
      <c r="AD17" s="55">
        <f>IF(AND(AD3&gt;0,AD3&lt;=('Inputs &amp; Summary'!$F$14)),-Insurance*((1+Ann_Expense_Growth)^(AD2-1)),0)</f>
        <v>-26.265624999999996</v>
      </c>
      <c r="AE17" s="55">
        <f>IF(AND(AE3&gt;0,AE3&lt;=('Inputs &amp; Summary'!$F$14)),-Insurance*((1+Ann_Expense_Growth)^(AE2-1)),0)</f>
        <v>-26.265624999999996</v>
      </c>
      <c r="AF17" s="55">
        <f>IF(AND(AF3&gt;0,AF3&lt;=('Inputs &amp; Summary'!$F$14)),-Insurance*((1+Ann_Expense_Growth)^(AF2-1)),0)</f>
        <v>-26.265624999999996</v>
      </c>
      <c r="AG17" s="55">
        <f>IF(AND(AG3&gt;0,AG3&lt;=('Inputs &amp; Summary'!$F$14)),-Insurance*((1+Ann_Expense_Growth)^(AG2-1)),0)</f>
        <v>-26.265624999999996</v>
      </c>
      <c r="AH17" s="55">
        <f>IF(AND(AH3&gt;0,AH3&lt;=('Inputs &amp; Summary'!$F$14)),-Insurance*((1+Ann_Expense_Growth)^(AH2-1)),0)</f>
        <v>-26.265624999999996</v>
      </c>
      <c r="AI17" s="55">
        <f>IF(AND(AI3&gt;0,AI3&lt;=('Inputs &amp; Summary'!$F$14)),-Insurance*((1+Ann_Expense_Growth)^(AI2-1)),0)</f>
        <v>-26.265624999999996</v>
      </c>
      <c r="AJ17" s="55">
        <f>IF(AND(AJ3&gt;0,AJ3&lt;=('Inputs &amp; Summary'!$F$14)),-Insurance*((1+Ann_Expense_Growth)^(AJ2-1)),0)</f>
        <v>-26.265624999999996</v>
      </c>
      <c r="AK17" s="55">
        <f>IF(AND(AK3&gt;0,AK3&lt;=('Inputs &amp; Summary'!$F$14)),-Insurance*((1+Ann_Expense_Growth)^(AK2-1)),0)</f>
        <v>-26.265624999999996</v>
      </c>
      <c r="AL17" s="55">
        <f>IF(AND(AL3&gt;0,AL3&lt;=('Inputs &amp; Summary'!$F$14)),-Insurance*((1+Ann_Expense_Growth)^(AL2-1)),0)</f>
        <v>-26.265624999999996</v>
      </c>
      <c r="AM17" s="55">
        <f>IF(AND(AM3&gt;0,AM3&lt;=('Inputs &amp; Summary'!$F$14)),-Insurance*((1+Ann_Expense_Growth)^(AM2-1)),0)</f>
        <v>-26.265624999999996</v>
      </c>
      <c r="AN17" s="55">
        <f>IF(AND(AN3&gt;0,AN3&lt;=('Inputs &amp; Summary'!$F$14)),-Insurance*((1+Ann_Expense_Growth)^(AN2-1)),0)</f>
        <v>-26.265624999999996</v>
      </c>
      <c r="AO17" s="55">
        <f>IF(AND(AO3&gt;0,AO3&lt;=('Inputs &amp; Summary'!$F$14)),-Insurance*((1+Ann_Expense_Growth)^(AO2-1)),0)</f>
        <v>0</v>
      </c>
      <c r="AP17" s="55">
        <f>IF(AND(AP3&gt;0,AP3&lt;=('Inputs &amp; Summary'!$F$14)),-Insurance*((1+Ann_Expense_Growth)^(AP2-1)),0)</f>
        <v>0</v>
      </c>
      <c r="AQ17" s="55">
        <f>IF(AND(AQ3&gt;0,AQ3&lt;=('Inputs &amp; Summary'!$F$14)),-Insurance*((1+Ann_Expense_Growth)^(AQ2-1)),0)</f>
        <v>0</v>
      </c>
      <c r="AR17" s="55">
        <f>IF(AND(AR3&gt;0,AR3&lt;=('Inputs &amp; Summary'!$F$14)),-Insurance*((1+Ann_Expense_Growth)^(AR2-1)),0)</f>
        <v>0</v>
      </c>
      <c r="AS17" s="55">
        <f>IF(AND(AS3&gt;0,AS3&lt;=('Inputs &amp; Summary'!$F$14)),-Insurance*((1+Ann_Expense_Growth)^(AS2-1)),0)</f>
        <v>0</v>
      </c>
      <c r="AT17" s="55">
        <f>IF(AND(AT3&gt;0,AT3&lt;=('Inputs &amp; Summary'!$F$14)),-Insurance*((1+Ann_Expense_Growth)^(AT2-1)),0)</f>
        <v>0</v>
      </c>
      <c r="AU17" s="55">
        <f>IF(AND(AU3&gt;0,AU3&lt;=('Inputs &amp; Summary'!$F$14)),-Insurance*((1+Ann_Expense_Growth)^(AU2-1)),0)</f>
        <v>0</v>
      </c>
      <c r="AV17" s="55">
        <f>IF(AND(AV3&gt;0,AV3&lt;=('Inputs &amp; Summary'!$F$14)),-Insurance*((1+Ann_Expense_Growth)^(AV2-1)),0)</f>
        <v>0</v>
      </c>
      <c r="AW17" s="55">
        <f>IF(AND(AW3&gt;0,AW3&lt;=('Inputs &amp; Summary'!$F$14)),-Insurance*((1+Ann_Expense_Growth)^(AW2-1)),0)</f>
        <v>0</v>
      </c>
      <c r="AX17" s="55">
        <f>IF(AND(AX3&gt;0,AX3&lt;=('Inputs &amp; Summary'!$F$14)),-Insurance*((1+Ann_Expense_Growth)^(AX2-1)),0)</f>
        <v>0</v>
      </c>
      <c r="AY17" s="55">
        <f>IF(AND(AY3&gt;0,AY3&lt;=('Inputs &amp; Summary'!$F$14)),-Insurance*((1+Ann_Expense_Growth)^(AY2-1)),0)</f>
        <v>0</v>
      </c>
      <c r="AZ17" s="55">
        <f>IF(AND(AZ3&gt;0,AZ3&lt;=('Inputs &amp; Summary'!$F$14)),-Insurance*((1+Ann_Expense_Growth)^(AZ2-1)),0)</f>
        <v>0</v>
      </c>
      <c r="BA17" s="55">
        <f>IF(AND(BA3&gt;0,BA3&lt;=('Inputs &amp; Summary'!$F$14)),-Insurance*((1+Ann_Expense_Growth)^(BA2-1)),0)</f>
        <v>0</v>
      </c>
      <c r="BB17" s="55">
        <f>IF(AND(BB3&gt;0,BB3&lt;=('Inputs &amp; Summary'!$F$14)),-Insurance*((1+Ann_Expense_Growth)^(BB2-1)),0)</f>
        <v>0</v>
      </c>
      <c r="BC17" s="55">
        <f>IF(AND(BC3&gt;0,BC3&lt;=('Inputs &amp; Summary'!$F$14)),-Insurance*((1+Ann_Expense_Growth)^(BC2-1)),0)</f>
        <v>0</v>
      </c>
      <c r="BD17" s="55">
        <f>IF(AND(BD3&gt;0,BD3&lt;=('Inputs &amp; Summary'!$F$14)),-Insurance*((1+Ann_Expense_Growth)^(BD2-1)),0)</f>
        <v>0</v>
      </c>
      <c r="BE17" s="55">
        <f>IF(AND(BE3&gt;0,BE3&lt;=('Inputs &amp; Summary'!$F$14)),-Insurance*((1+Ann_Expense_Growth)^(BE2-1)),0)</f>
        <v>0</v>
      </c>
      <c r="BF17" s="55">
        <f>IF(AND(BF3&gt;0,BF3&lt;=('Inputs &amp; Summary'!$F$14)),-Insurance*((1+Ann_Expense_Growth)^(BF2-1)),0)</f>
        <v>0</v>
      </c>
      <c r="BG17" s="55">
        <f>IF(AND(BG3&gt;0,BG3&lt;=('Inputs &amp; Summary'!$F$14)),-Insurance*((1+Ann_Expense_Growth)^(BG2-1)),0)</f>
        <v>0</v>
      </c>
      <c r="BH17" s="55">
        <f>IF(AND(BH3&gt;0,BH3&lt;=('Inputs &amp; Summary'!$F$14)),-Insurance*((1+Ann_Expense_Growth)^(BH2-1)),0)</f>
        <v>0</v>
      </c>
      <c r="BI17" s="55">
        <f>IF(AND(BI3&gt;0,BI3&lt;=('Inputs &amp; Summary'!$F$14)),-Insurance*((1+Ann_Expense_Growth)^(BI2-1)),0)</f>
        <v>0</v>
      </c>
      <c r="BJ17" s="55">
        <f>IF(AND(BJ3&gt;0,BJ3&lt;=('Inputs &amp; Summary'!$F$14)),-Insurance*((1+Ann_Expense_Growth)^(BJ2-1)),0)</f>
        <v>0</v>
      </c>
      <c r="BK17" s="55">
        <f>IF(AND(BK3&gt;0,BK3&lt;=('Inputs &amp; Summary'!$F$14)),-Insurance*((1+Ann_Expense_Growth)^(BK2-1)),0)</f>
        <v>0</v>
      </c>
      <c r="BL17" s="55">
        <f>IF(AND(BL3&gt;0,BL3&lt;=('Inputs &amp; Summary'!$F$14)),-Insurance*((1+Ann_Expense_Growth)^(BL2-1)),0)</f>
        <v>0</v>
      </c>
    </row>
    <row r="18" spans="2:64" x14ac:dyDescent="0.2">
      <c r="C18" s="36" t="s">
        <v>86</v>
      </c>
      <c r="D18" s="55">
        <f>IF(AND(D3&gt;'Inputs &amp; Summary'!$F$11,D3&lt;=('Inputs &amp; Summary'!$F$14)),-OpEx*((1+Ann_Expense_Growth)^(D2-1)),0)</f>
        <v>0</v>
      </c>
      <c r="E18" s="55">
        <f>IF(AND(E3&gt;'Inputs &amp; Summary'!$F$11,E3&lt;=('Inputs &amp; Summary'!$F$14)),-OpEx*((1+Ann_Expense_Growth)^(E2-1)),0)</f>
        <v>0</v>
      </c>
      <c r="F18" s="55">
        <f>IF(AND(F3&gt;'Inputs &amp; Summary'!$F$11,F3&lt;=('Inputs &amp; Summary'!$F$14)),-OpEx*((1+Ann_Expense_Growth)^(F2-1)),0)</f>
        <v>0</v>
      </c>
      <c r="G18" s="55">
        <f>IF(AND(G3&gt;'Inputs &amp; Summary'!$F$11,G3&lt;=('Inputs &amp; Summary'!$F$14)),-OpEx*((1+Ann_Expense_Growth)^(G2-1)),0)</f>
        <v>-150</v>
      </c>
      <c r="H18" s="55">
        <f>IF(AND(H3&gt;'Inputs &amp; Summary'!$F$11,H3&lt;=('Inputs &amp; Summary'!$F$14)),-OpEx*((1+Ann_Expense_Growth)^(H2-1)),0)</f>
        <v>-150</v>
      </c>
      <c r="I18" s="55">
        <f>IF(AND(I3&gt;'Inputs &amp; Summary'!$F$11,I3&lt;=('Inputs &amp; Summary'!$F$14)),-OpEx*((1+Ann_Expense_Growth)^(I2-1)),0)</f>
        <v>-150</v>
      </c>
      <c r="J18" s="55">
        <f>IF(AND(J3&gt;'Inputs &amp; Summary'!$F$11,J3&lt;=('Inputs &amp; Summary'!$F$14)),-OpEx*((1+Ann_Expense_Growth)^(J2-1)),0)</f>
        <v>-150</v>
      </c>
      <c r="K18" s="55">
        <f>IF(AND(K3&gt;'Inputs &amp; Summary'!$F$11,K3&lt;=('Inputs &amp; Summary'!$F$14)),-OpEx*((1+Ann_Expense_Growth)^(K2-1)),0)</f>
        <v>-150</v>
      </c>
      <c r="L18" s="55">
        <f>IF(AND(L3&gt;'Inputs &amp; Summary'!$F$11,L3&lt;=('Inputs &amp; Summary'!$F$14)),-OpEx*((1+Ann_Expense_Growth)^(L2-1)),0)</f>
        <v>-150</v>
      </c>
      <c r="M18" s="55">
        <f>IF(AND(M3&gt;'Inputs &amp; Summary'!$F$11,M3&lt;=('Inputs &amp; Summary'!$F$14)),-OpEx*((1+Ann_Expense_Growth)^(M2-1)),0)</f>
        <v>-150</v>
      </c>
      <c r="N18" s="55">
        <f>IF(AND(N3&gt;'Inputs &amp; Summary'!$F$11,N3&lt;=('Inputs &amp; Summary'!$F$14)),-OpEx*((1+Ann_Expense_Growth)^(N2-1)),0)</f>
        <v>-150</v>
      </c>
      <c r="O18" s="55">
        <f>IF(AND(O3&gt;'Inputs &amp; Summary'!$F$11,O3&lt;=('Inputs &amp; Summary'!$F$14)),-OpEx*((1+Ann_Expense_Growth)^(O2-1)),0)</f>
        <v>-150</v>
      </c>
      <c r="P18" s="55">
        <f>IF(AND(P3&gt;'Inputs &amp; Summary'!$F$11,P3&lt;=('Inputs &amp; Summary'!$F$14)),-OpEx*((1+Ann_Expense_Growth)^(P2-1)),0)</f>
        <v>-150</v>
      </c>
      <c r="Q18" s="55">
        <f>IF(AND(Q3&gt;'Inputs &amp; Summary'!$F$11,Q3&lt;=('Inputs &amp; Summary'!$F$14)),-OpEx*((1+Ann_Expense_Growth)^(Q2-1)),0)</f>
        <v>-153.75</v>
      </c>
      <c r="R18" s="55">
        <f>IF(AND(R3&gt;'Inputs &amp; Summary'!$F$11,R3&lt;=('Inputs &amp; Summary'!$F$14)),-OpEx*((1+Ann_Expense_Growth)^(R2-1)),0)</f>
        <v>-153.75</v>
      </c>
      <c r="S18" s="55">
        <f>IF(AND(S3&gt;'Inputs &amp; Summary'!$F$11,S3&lt;=('Inputs &amp; Summary'!$F$14)),-OpEx*((1+Ann_Expense_Growth)^(S2-1)),0)</f>
        <v>-153.75</v>
      </c>
      <c r="T18" s="55">
        <f>IF(AND(T3&gt;'Inputs &amp; Summary'!$F$11,T3&lt;=('Inputs &amp; Summary'!$F$14)),-OpEx*((1+Ann_Expense_Growth)^(T2-1)),0)</f>
        <v>-153.75</v>
      </c>
      <c r="U18" s="55">
        <f>IF(AND(U3&gt;'Inputs &amp; Summary'!$F$11,U3&lt;=('Inputs &amp; Summary'!$F$14)),-OpEx*((1+Ann_Expense_Growth)^(U2-1)),0)</f>
        <v>-153.75</v>
      </c>
      <c r="V18" s="55">
        <f>IF(AND(V3&gt;'Inputs &amp; Summary'!$F$11,V3&lt;=('Inputs &amp; Summary'!$F$14)),-OpEx*((1+Ann_Expense_Growth)^(V2-1)),0)</f>
        <v>-153.75</v>
      </c>
      <c r="W18" s="55">
        <f>IF(AND(W3&gt;'Inputs &amp; Summary'!$F$11,W3&lt;=('Inputs &amp; Summary'!$F$14)),-OpEx*((1+Ann_Expense_Growth)^(W2-1)),0)</f>
        <v>-153.75</v>
      </c>
      <c r="X18" s="55">
        <f>IF(AND(X3&gt;'Inputs &amp; Summary'!$F$11,X3&lt;=('Inputs &amp; Summary'!$F$14)),-OpEx*((1+Ann_Expense_Growth)^(X2-1)),0)</f>
        <v>-153.75</v>
      </c>
      <c r="Y18" s="55">
        <f>IF(AND(Y3&gt;'Inputs &amp; Summary'!$F$11,Y3&lt;=('Inputs &amp; Summary'!$F$14)),-OpEx*((1+Ann_Expense_Growth)^(Y2-1)),0)</f>
        <v>-153.75</v>
      </c>
      <c r="Z18" s="55">
        <f>IF(AND(Z3&gt;'Inputs &amp; Summary'!$F$11,Z3&lt;=('Inputs &amp; Summary'!$F$14)),-OpEx*((1+Ann_Expense_Growth)^(Z2-1)),0)</f>
        <v>-153.75</v>
      </c>
      <c r="AA18" s="55">
        <f>IF(AND(AA3&gt;'Inputs &amp; Summary'!$F$11,AA3&lt;=('Inputs &amp; Summary'!$F$14)),-OpEx*((1+Ann_Expense_Growth)^(AA2-1)),0)</f>
        <v>-153.75</v>
      </c>
      <c r="AB18" s="55">
        <f>IF(AND(AB3&gt;'Inputs &amp; Summary'!$F$11,AB3&lt;=('Inputs &amp; Summary'!$F$14)),-OpEx*((1+Ann_Expense_Growth)^(AB2-1)),0)</f>
        <v>-153.75</v>
      </c>
      <c r="AC18" s="55">
        <f>IF(AND(AC3&gt;'Inputs &amp; Summary'!$F$11,AC3&lt;=('Inputs &amp; Summary'!$F$14)),-OpEx*((1+Ann_Expense_Growth)^(AC2-1)),0)</f>
        <v>-157.59375</v>
      </c>
      <c r="AD18" s="55">
        <f>IF(AND(AD3&gt;'Inputs &amp; Summary'!$F$11,AD3&lt;=('Inputs &amp; Summary'!$F$14)),-OpEx*((1+Ann_Expense_Growth)^(AD2-1)),0)</f>
        <v>-157.59375</v>
      </c>
      <c r="AE18" s="55">
        <f>IF(AND(AE3&gt;'Inputs &amp; Summary'!$F$11,AE3&lt;=('Inputs &amp; Summary'!$F$14)),-OpEx*((1+Ann_Expense_Growth)^(AE2-1)),0)</f>
        <v>-157.59375</v>
      </c>
      <c r="AF18" s="55">
        <f>IF(AND(AF3&gt;'Inputs &amp; Summary'!$F$11,AF3&lt;=('Inputs &amp; Summary'!$F$14)),-OpEx*((1+Ann_Expense_Growth)^(AF2-1)),0)</f>
        <v>-157.59375</v>
      </c>
      <c r="AG18" s="55">
        <f>IF(AND(AG3&gt;'Inputs &amp; Summary'!$F$11,AG3&lt;=('Inputs &amp; Summary'!$F$14)),-OpEx*((1+Ann_Expense_Growth)^(AG2-1)),0)</f>
        <v>-157.59375</v>
      </c>
      <c r="AH18" s="55">
        <f>IF(AND(AH3&gt;'Inputs &amp; Summary'!$F$11,AH3&lt;=('Inputs &amp; Summary'!$F$14)),-OpEx*((1+Ann_Expense_Growth)^(AH2-1)),0)</f>
        <v>-157.59375</v>
      </c>
      <c r="AI18" s="55">
        <f>IF(AND(AI3&gt;'Inputs &amp; Summary'!$F$11,AI3&lt;=('Inputs &amp; Summary'!$F$14)),-OpEx*((1+Ann_Expense_Growth)^(AI2-1)),0)</f>
        <v>-157.59375</v>
      </c>
      <c r="AJ18" s="55">
        <f>IF(AND(AJ3&gt;'Inputs &amp; Summary'!$F$11,AJ3&lt;=('Inputs &amp; Summary'!$F$14)),-OpEx*((1+Ann_Expense_Growth)^(AJ2-1)),0)</f>
        <v>-157.59375</v>
      </c>
      <c r="AK18" s="55">
        <f>IF(AND(AK3&gt;'Inputs &amp; Summary'!$F$11,AK3&lt;=('Inputs &amp; Summary'!$F$14)),-OpEx*((1+Ann_Expense_Growth)^(AK2-1)),0)</f>
        <v>-157.59375</v>
      </c>
      <c r="AL18" s="55">
        <f>IF(AND(AL3&gt;'Inputs &amp; Summary'!$F$11,AL3&lt;=('Inputs &amp; Summary'!$F$14)),-OpEx*((1+Ann_Expense_Growth)^(AL2-1)),0)</f>
        <v>-157.59375</v>
      </c>
      <c r="AM18" s="55">
        <f>IF(AND(AM3&gt;'Inputs &amp; Summary'!$F$11,AM3&lt;=('Inputs &amp; Summary'!$F$14)),-OpEx*((1+Ann_Expense_Growth)^(AM2-1)),0)</f>
        <v>-157.59375</v>
      </c>
      <c r="AN18" s="55">
        <f>IF(AND(AN3&gt;'Inputs &amp; Summary'!$F$11,AN3&lt;=('Inputs &amp; Summary'!$F$14)),-OpEx*((1+Ann_Expense_Growth)^(AN2-1)),0)</f>
        <v>-157.59375</v>
      </c>
      <c r="AO18" s="55">
        <f>IF(AND(AO3&gt;'Inputs &amp; Summary'!$F$11,AO3&lt;=('Inputs &amp; Summary'!$F$14)),-OpEx*((1+Ann_Expense_Growth)^(AO2-1)),0)</f>
        <v>0</v>
      </c>
      <c r="AP18" s="55">
        <f>IF(AND(AP3&gt;'Inputs &amp; Summary'!$F$11,AP3&lt;=('Inputs &amp; Summary'!$F$14)),-OpEx*((1+Ann_Expense_Growth)^(AP2-1)),0)</f>
        <v>0</v>
      </c>
      <c r="AQ18" s="55">
        <f>IF(AND(AQ3&gt;'Inputs &amp; Summary'!$F$11,AQ3&lt;=('Inputs &amp; Summary'!$F$14)),-OpEx*((1+Ann_Expense_Growth)^(AQ2-1)),0)</f>
        <v>0</v>
      </c>
      <c r="AR18" s="55">
        <f>IF(AND(AR3&gt;'Inputs &amp; Summary'!$F$11,AR3&lt;=('Inputs &amp; Summary'!$F$14)),-OpEx*((1+Ann_Expense_Growth)^(AR2-1)),0)</f>
        <v>0</v>
      </c>
      <c r="AS18" s="55">
        <f>IF(AND(AS3&gt;'Inputs &amp; Summary'!$F$11,AS3&lt;=('Inputs &amp; Summary'!$F$14)),-OpEx*((1+Ann_Expense_Growth)^(AS2-1)),0)</f>
        <v>0</v>
      </c>
      <c r="AT18" s="55">
        <f>IF(AND(AT3&gt;'Inputs &amp; Summary'!$F$11,AT3&lt;=('Inputs &amp; Summary'!$F$14)),-OpEx*((1+Ann_Expense_Growth)^(AT2-1)),0)</f>
        <v>0</v>
      </c>
      <c r="AU18" s="55">
        <f>IF(AND(AU3&gt;'Inputs &amp; Summary'!$F$11,AU3&lt;=('Inputs &amp; Summary'!$F$14)),-OpEx*((1+Ann_Expense_Growth)^(AU2-1)),0)</f>
        <v>0</v>
      </c>
      <c r="AV18" s="55">
        <f>IF(AND(AV3&gt;'Inputs &amp; Summary'!$F$11,AV3&lt;=('Inputs &amp; Summary'!$F$14)),-OpEx*((1+Ann_Expense_Growth)^(AV2-1)),0)</f>
        <v>0</v>
      </c>
      <c r="AW18" s="55">
        <f>IF(AND(AW3&gt;'Inputs &amp; Summary'!$F$11,AW3&lt;=('Inputs &amp; Summary'!$F$14)),-OpEx*((1+Ann_Expense_Growth)^(AW2-1)),0)</f>
        <v>0</v>
      </c>
      <c r="AX18" s="55">
        <f>IF(AND(AX3&gt;'Inputs &amp; Summary'!$F$11,AX3&lt;=('Inputs &amp; Summary'!$F$14)),-OpEx*((1+Ann_Expense_Growth)^(AX2-1)),0)</f>
        <v>0</v>
      </c>
      <c r="AY18" s="55">
        <f>IF(AND(AY3&gt;'Inputs &amp; Summary'!$F$11,AY3&lt;=('Inputs &amp; Summary'!$F$14)),-OpEx*((1+Ann_Expense_Growth)^(AY2-1)),0)</f>
        <v>0</v>
      </c>
      <c r="AZ18" s="55">
        <f>IF(AND(AZ3&gt;'Inputs &amp; Summary'!$F$11,AZ3&lt;=('Inputs &amp; Summary'!$F$14)),-OpEx*((1+Ann_Expense_Growth)^(AZ2-1)),0)</f>
        <v>0</v>
      </c>
      <c r="BA18" s="55">
        <f>IF(AND(BA3&gt;'Inputs &amp; Summary'!$F$11,BA3&lt;=('Inputs &amp; Summary'!$F$14)),-OpEx*((1+Ann_Expense_Growth)^(BA2-1)),0)</f>
        <v>0</v>
      </c>
      <c r="BB18" s="55">
        <f>IF(AND(BB3&gt;'Inputs &amp; Summary'!$F$11,BB3&lt;=('Inputs &amp; Summary'!$F$14)),-OpEx*((1+Ann_Expense_Growth)^(BB2-1)),0)</f>
        <v>0</v>
      </c>
      <c r="BC18" s="55">
        <f>IF(AND(BC3&gt;'Inputs &amp; Summary'!$F$11,BC3&lt;=('Inputs &amp; Summary'!$F$14)),-OpEx*((1+Ann_Expense_Growth)^(BC2-1)),0)</f>
        <v>0</v>
      </c>
      <c r="BD18" s="55">
        <f>IF(AND(BD3&gt;'Inputs &amp; Summary'!$F$11,BD3&lt;=('Inputs &amp; Summary'!$F$14)),-OpEx*((1+Ann_Expense_Growth)^(BD2-1)),0)</f>
        <v>0</v>
      </c>
      <c r="BE18" s="55">
        <f>IF(AND(BE3&gt;'Inputs &amp; Summary'!$F$11,BE3&lt;=('Inputs &amp; Summary'!$F$14)),-OpEx*((1+Ann_Expense_Growth)^(BE2-1)),0)</f>
        <v>0</v>
      </c>
      <c r="BF18" s="55">
        <f>IF(AND(BF3&gt;'Inputs &amp; Summary'!$F$11,BF3&lt;=('Inputs &amp; Summary'!$F$14)),-OpEx*((1+Ann_Expense_Growth)^(BF2-1)),0)</f>
        <v>0</v>
      </c>
      <c r="BG18" s="55">
        <f>IF(AND(BG3&gt;'Inputs &amp; Summary'!$F$11,BG3&lt;=('Inputs &amp; Summary'!$F$14)),-OpEx*((1+Ann_Expense_Growth)^(BG2-1)),0)</f>
        <v>0</v>
      </c>
      <c r="BH18" s="55">
        <f>IF(AND(BH3&gt;'Inputs &amp; Summary'!$F$11,BH3&lt;=('Inputs &amp; Summary'!$F$14)),-OpEx*((1+Ann_Expense_Growth)^(BH2-1)),0)</f>
        <v>0</v>
      </c>
      <c r="BI18" s="55">
        <f>IF(AND(BI3&gt;'Inputs &amp; Summary'!$F$11,BI3&lt;=('Inputs &amp; Summary'!$F$14)),-OpEx*((1+Ann_Expense_Growth)^(BI2-1)),0)</f>
        <v>0</v>
      </c>
      <c r="BJ18" s="55">
        <f>IF(AND(BJ3&gt;'Inputs &amp; Summary'!$F$11,BJ3&lt;=('Inputs &amp; Summary'!$F$14)),-OpEx*((1+Ann_Expense_Growth)^(BJ2-1)),0)</f>
        <v>0</v>
      </c>
      <c r="BK18" s="55">
        <f>IF(AND(BK3&gt;'Inputs &amp; Summary'!$F$11,BK3&lt;=('Inputs &amp; Summary'!$F$14)),-OpEx*((1+Ann_Expense_Growth)^(BK2-1)),0)</f>
        <v>0</v>
      </c>
      <c r="BL18" s="55">
        <f>IF(AND(BL3&gt;'Inputs &amp; Summary'!$F$11,BL3&lt;=('Inputs &amp; Summary'!$F$14)),-OpEx*((1+Ann_Expense_Growth)^(BL2-1)),0)</f>
        <v>0</v>
      </c>
    </row>
    <row r="19" spans="2:64" x14ac:dyDescent="0.2">
      <c r="C19" s="36" t="s">
        <v>87</v>
      </c>
      <c r="E19" s="55">
        <f t="shared" ref="E19" si="71">(-property_mgmt_percentage*E14)*((1+Ann_Expense_Growth)^(E2-1))</f>
        <v>0</v>
      </c>
      <c r="F19" s="55">
        <f t="shared" ref="F19:BL19" si="72">(-property_mgmt_percentage*F14)*((1+Ann_Expense_Growth)^(F2-1))</f>
        <v>0</v>
      </c>
      <c r="G19" s="55">
        <f t="shared" si="72"/>
        <v>-88.109589041095902</v>
      </c>
      <c r="H19" s="55">
        <f t="shared" si="72"/>
        <v>-88.109589041095902</v>
      </c>
      <c r="I19" s="55">
        <f t="shared" si="72"/>
        <v>-88.109589041095902</v>
      </c>
      <c r="J19" s="55">
        <f t="shared" si="72"/>
        <v>-88.109589041095902</v>
      </c>
      <c r="K19" s="55">
        <f t="shared" si="72"/>
        <v>-88.109589041095902</v>
      </c>
      <c r="L19" s="55">
        <f t="shared" si="72"/>
        <v>-88.109589041095902</v>
      </c>
      <c r="M19" s="55">
        <f t="shared" si="72"/>
        <v>-88.109589041095902</v>
      </c>
      <c r="N19" s="55">
        <f t="shared" si="72"/>
        <v>-88.109589041095902</v>
      </c>
      <c r="O19" s="55">
        <f t="shared" si="72"/>
        <v>-88.109589041095902</v>
      </c>
      <c r="P19" s="55">
        <f t="shared" si="72"/>
        <v>-88.109589041095902</v>
      </c>
      <c r="Q19" s="55">
        <f t="shared" si="72"/>
        <v>-93.264328767123288</v>
      </c>
      <c r="R19" s="55">
        <f t="shared" si="72"/>
        <v>-93.264328767123288</v>
      </c>
      <c r="S19" s="55">
        <f t="shared" si="72"/>
        <v>-93.264328767123288</v>
      </c>
      <c r="T19" s="55">
        <f t="shared" si="72"/>
        <v>-93.264328767123288</v>
      </c>
      <c r="U19" s="55">
        <f t="shared" si="72"/>
        <v>-93.264328767123288</v>
      </c>
      <c r="V19" s="55">
        <f t="shared" si="72"/>
        <v>-93.264328767123288</v>
      </c>
      <c r="W19" s="55">
        <f t="shared" si="72"/>
        <v>-93.264328767123288</v>
      </c>
      <c r="X19" s="55">
        <f t="shared" si="72"/>
        <v>-93.264328767123288</v>
      </c>
      <c r="Y19" s="55">
        <f t="shared" si="72"/>
        <v>-93.264328767123288</v>
      </c>
      <c r="Z19" s="55">
        <f t="shared" si="72"/>
        <v>-93.264328767123288</v>
      </c>
      <c r="AA19" s="55">
        <f t="shared" si="72"/>
        <v>-93.264328767123288</v>
      </c>
      <c r="AB19" s="55">
        <f t="shared" si="72"/>
        <v>-93.264328767123288</v>
      </c>
      <c r="AC19" s="55">
        <f t="shared" si="72"/>
        <v>-98.712510986301368</v>
      </c>
      <c r="AD19" s="55">
        <f t="shared" si="72"/>
        <v>-98.712510986301368</v>
      </c>
      <c r="AE19" s="55">
        <f t="shared" si="72"/>
        <v>-98.712510986301368</v>
      </c>
      <c r="AF19" s="55">
        <f t="shared" si="72"/>
        <v>-98.712510986301368</v>
      </c>
      <c r="AG19" s="55">
        <f t="shared" si="72"/>
        <v>-98.712510986301368</v>
      </c>
      <c r="AH19" s="55">
        <f t="shared" si="72"/>
        <v>-98.712510986301368</v>
      </c>
      <c r="AI19" s="55">
        <f t="shared" si="72"/>
        <v>-98.712510986301368</v>
      </c>
      <c r="AJ19" s="55">
        <f t="shared" si="72"/>
        <v>-98.712510986301368</v>
      </c>
      <c r="AK19" s="55">
        <f t="shared" si="72"/>
        <v>-98.712510986301368</v>
      </c>
      <c r="AL19" s="55">
        <f t="shared" si="72"/>
        <v>-98.712510986301368</v>
      </c>
      <c r="AM19" s="55">
        <f t="shared" si="72"/>
        <v>-98.712510986301368</v>
      </c>
      <c r="AN19" s="55">
        <f t="shared" si="72"/>
        <v>-98.712510986301368</v>
      </c>
      <c r="AO19" s="55">
        <f t="shared" si="72"/>
        <v>0</v>
      </c>
      <c r="AP19" s="55">
        <f t="shared" si="72"/>
        <v>0</v>
      </c>
      <c r="AQ19" s="55">
        <f t="shared" si="72"/>
        <v>0</v>
      </c>
      <c r="AR19" s="55">
        <f t="shared" si="72"/>
        <v>0</v>
      </c>
      <c r="AS19" s="55">
        <f t="shared" si="72"/>
        <v>0</v>
      </c>
      <c r="AT19" s="55">
        <f t="shared" si="72"/>
        <v>0</v>
      </c>
      <c r="AU19" s="55">
        <f t="shared" si="72"/>
        <v>0</v>
      </c>
      <c r="AV19" s="55">
        <f t="shared" si="72"/>
        <v>0</v>
      </c>
      <c r="AW19" s="55">
        <f t="shared" si="72"/>
        <v>0</v>
      </c>
      <c r="AX19" s="55">
        <f t="shared" si="72"/>
        <v>0</v>
      </c>
      <c r="AY19" s="55">
        <f t="shared" si="72"/>
        <v>0</v>
      </c>
      <c r="AZ19" s="55">
        <f t="shared" si="72"/>
        <v>0</v>
      </c>
      <c r="BA19" s="55">
        <f t="shared" si="72"/>
        <v>0</v>
      </c>
      <c r="BB19" s="55">
        <f t="shared" si="72"/>
        <v>0</v>
      </c>
      <c r="BC19" s="55">
        <f t="shared" si="72"/>
        <v>0</v>
      </c>
      <c r="BD19" s="55">
        <f t="shared" si="72"/>
        <v>0</v>
      </c>
      <c r="BE19" s="55">
        <f t="shared" si="72"/>
        <v>0</v>
      </c>
      <c r="BF19" s="55">
        <f t="shared" si="72"/>
        <v>0</v>
      </c>
      <c r="BG19" s="55">
        <f t="shared" si="72"/>
        <v>0</v>
      </c>
      <c r="BH19" s="55">
        <f t="shared" si="72"/>
        <v>0</v>
      </c>
      <c r="BI19" s="55">
        <f t="shared" si="72"/>
        <v>0</v>
      </c>
      <c r="BJ19" s="55">
        <f t="shared" si="72"/>
        <v>0</v>
      </c>
      <c r="BK19" s="55">
        <f t="shared" si="72"/>
        <v>0</v>
      </c>
      <c r="BL19" s="55">
        <f t="shared" si="72"/>
        <v>0</v>
      </c>
    </row>
    <row r="20" spans="2:64" x14ac:dyDescent="0.2">
      <c r="C20" s="40" t="s">
        <v>88</v>
      </c>
      <c r="E20" s="57">
        <f t="shared" ref="E20:BL20" si="73">SUM(E16:E19)</f>
        <v>-75</v>
      </c>
      <c r="F20" s="57">
        <f t="shared" si="73"/>
        <v>-75</v>
      </c>
      <c r="G20" s="57">
        <f t="shared" si="73"/>
        <v>-313.10958904109589</v>
      </c>
      <c r="H20" s="57">
        <f t="shared" si="73"/>
        <v>-313.10958904109589</v>
      </c>
      <c r="I20" s="57">
        <f t="shared" si="73"/>
        <v>-313.10958904109589</v>
      </c>
      <c r="J20" s="57">
        <f t="shared" si="73"/>
        <v>-313.10958904109589</v>
      </c>
      <c r="K20" s="57">
        <f t="shared" si="73"/>
        <v>-313.10958904109589</v>
      </c>
      <c r="L20" s="57">
        <f t="shared" si="73"/>
        <v>-313.10958904109589</v>
      </c>
      <c r="M20" s="57">
        <f t="shared" si="73"/>
        <v>-313.10958904109589</v>
      </c>
      <c r="N20" s="57">
        <f t="shared" si="73"/>
        <v>-313.10958904109589</v>
      </c>
      <c r="O20" s="57">
        <f t="shared" si="73"/>
        <v>-313.10958904109589</v>
      </c>
      <c r="P20" s="57">
        <f t="shared" si="73"/>
        <v>-313.10958904109589</v>
      </c>
      <c r="Q20" s="57">
        <f t="shared" si="73"/>
        <v>-323.88932876712329</v>
      </c>
      <c r="R20" s="57">
        <f t="shared" si="73"/>
        <v>-323.88932876712329</v>
      </c>
      <c r="S20" s="57">
        <f t="shared" si="73"/>
        <v>-323.88932876712329</v>
      </c>
      <c r="T20" s="57">
        <f t="shared" si="73"/>
        <v>-323.88932876712329</v>
      </c>
      <c r="U20" s="57">
        <f t="shared" si="73"/>
        <v>-323.88932876712329</v>
      </c>
      <c r="V20" s="57">
        <f t="shared" si="73"/>
        <v>-323.88932876712329</v>
      </c>
      <c r="W20" s="57">
        <f t="shared" si="73"/>
        <v>-323.88932876712329</v>
      </c>
      <c r="X20" s="57">
        <f t="shared" si="73"/>
        <v>-323.88932876712329</v>
      </c>
      <c r="Y20" s="57">
        <f t="shared" si="73"/>
        <v>-323.88932876712329</v>
      </c>
      <c r="Z20" s="57">
        <f t="shared" si="73"/>
        <v>-323.88932876712329</v>
      </c>
      <c r="AA20" s="57">
        <f t="shared" si="73"/>
        <v>-323.88932876712329</v>
      </c>
      <c r="AB20" s="57">
        <f t="shared" si="73"/>
        <v>-323.88932876712329</v>
      </c>
      <c r="AC20" s="57">
        <f t="shared" si="73"/>
        <v>-335.10313598630137</v>
      </c>
      <c r="AD20" s="57">
        <f t="shared" si="73"/>
        <v>-335.10313598630137</v>
      </c>
      <c r="AE20" s="57">
        <f t="shared" si="73"/>
        <v>-335.10313598630137</v>
      </c>
      <c r="AF20" s="57">
        <f t="shared" si="73"/>
        <v>-335.10313598630137</v>
      </c>
      <c r="AG20" s="57">
        <f t="shared" si="73"/>
        <v>-335.10313598630137</v>
      </c>
      <c r="AH20" s="57">
        <f t="shared" si="73"/>
        <v>-335.10313598630137</v>
      </c>
      <c r="AI20" s="57">
        <f t="shared" si="73"/>
        <v>-335.10313598630137</v>
      </c>
      <c r="AJ20" s="57">
        <f t="shared" si="73"/>
        <v>-335.10313598630137</v>
      </c>
      <c r="AK20" s="57">
        <f t="shared" si="73"/>
        <v>-335.10313598630137</v>
      </c>
      <c r="AL20" s="57">
        <f t="shared" si="73"/>
        <v>-335.10313598630137</v>
      </c>
      <c r="AM20" s="57">
        <f t="shared" si="73"/>
        <v>-335.10313598630137</v>
      </c>
      <c r="AN20" s="57">
        <f t="shared" si="73"/>
        <v>-335.10313598630137</v>
      </c>
      <c r="AO20" s="57">
        <f t="shared" si="73"/>
        <v>0</v>
      </c>
      <c r="AP20" s="57">
        <f t="shared" si="73"/>
        <v>0</v>
      </c>
      <c r="AQ20" s="57">
        <f t="shared" si="73"/>
        <v>0</v>
      </c>
      <c r="AR20" s="57">
        <f t="shared" si="73"/>
        <v>0</v>
      </c>
      <c r="AS20" s="57">
        <f t="shared" si="73"/>
        <v>0</v>
      </c>
      <c r="AT20" s="57">
        <f t="shared" si="73"/>
        <v>0</v>
      </c>
      <c r="AU20" s="57">
        <f t="shared" si="73"/>
        <v>0</v>
      </c>
      <c r="AV20" s="57">
        <f t="shared" si="73"/>
        <v>0</v>
      </c>
      <c r="AW20" s="57">
        <f t="shared" si="73"/>
        <v>0</v>
      </c>
      <c r="AX20" s="57">
        <f t="shared" si="73"/>
        <v>0</v>
      </c>
      <c r="AY20" s="57">
        <f t="shared" si="73"/>
        <v>0</v>
      </c>
      <c r="AZ20" s="57">
        <f t="shared" si="73"/>
        <v>0</v>
      </c>
      <c r="BA20" s="57">
        <f t="shared" si="73"/>
        <v>0</v>
      </c>
      <c r="BB20" s="57">
        <f t="shared" si="73"/>
        <v>0</v>
      </c>
      <c r="BC20" s="57">
        <f t="shared" si="73"/>
        <v>0</v>
      </c>
      <c r="BD20" s="57">
        <f t="shared" si="73"/>
        <v>0</v>
      </c>
      <c r="BE20" s="57">
        <f t="shared" si="73"/>
        <v>0</v>
      </c>
      <c r="BF20" s="57">
        <f t="shared" si="73"/>
        <v>0</v>
      </c>
      <c r="BG20" s="57">
        <f t="shared" si="73"/>
        <v>0</v>
      </c>
      <c r="BH20" s="57">
        <f t="shared" si="73"/>
        <v>0</v>
      </c>
      <c r="BI20" s="57">
        <f t="shared" si="73"/>
        <v>0</v>
      </c>
      <c r="BJ20" s="57">
        <f t="shared" si="73"/>
        <v>0</v>
      </c>
      <c r="BK20" s="57">
        <f t="shared" si="73"/>
        <v>0</v>
      </c>
      <c r="BL20" s="57">
        <f t="shared" si="73"/>
        <v>0</v>
      </c>
    </row>
    <row r="21" spans="2:64" x14ac:dyDescent="0.2"/>
    <row r="22" spans="2:64" x14ac:dyDescent="0.2">
      <c r="C22" s="40" t="s">
        <v>89</v>
      </c>
      <c r="E22" s="56">
        <f t="shared" ref="E22:BL22" si="74">SUM(E20,E14)</f>
        <v>-75</v>
      </c>
      <c r="F22" s="56">
        <f t="shared" si="74"/>
        <v>-75</v>
      </c>
      <c r="G22" s="56">
        <f>SUM(G20,G14)</f>
        <v>788.26027397260282</v>
      </c>
      <c r="H22" s="56">
        <f t="shared" si="74"/>
        <v>788.26027397260282</v>
      </c>
      <c r="I22" s="56">
        <f t="shared" si="74"/>
        <v>788.26027397260282</v>
      </c>
      <c r="J22" s="56">
        <f t="shared" si="74"/>
        <v>788.26027397260282</v>
      </c>
      <c r="K22" s="56">
        <f t="shared" si="74"/>
        <v>788.26027397260282</v>
      </c>
      <c r="L22" s="56">
        <f t="shared" si="74"/>
        <v>788.26027397260282</v>
      </c>
      <c r="M22" s="56">
        <f t="shared" si="74"/>
        <v>788.26027397260282</v>
      </c>
      <c r="N22" s="56">
        <f t="shared" si="74"/>
        <v>788.26027397260282</v>
      </c>
      <c r="O22" s="56">
        <f t="shared" si="74"/>
        <v>788.26027397260282</v>
      </c>
      <c r="P22" s="56">
        <f t="shared" si="74"/>
        <v>788.26027397260282</v>
      </c>
      <c r="Q22" s="56">
        <f t="shared" si="74"/>
        <v>813.48053424657542</v>
      </c>
      <c r="R22" s="56">
        <f t="shared" si="74"/>
        <v>813.48053424657542</v>
      </c>
      <c r="S22" s="56">
        <f t="shared" si="74"/>
        <v>813.48053424657542</v>
      </c>
      <c r="T22" s="56">
        <f t="shared" si="74"/>
        <v>813.48053424657542</v>
      </c>
      <c r="U22" s="56">
        <f t="shared" si="74"/>
        <v>813.48053424657542</v>
      </c>
      <c r="V22" s="56">
        <f t="shared" si="74"/>
        <v>813.48053424657542</v>
      </c>
      <c r="W22" s="56">
        <f t="shared" si="74"/>
        <v>813.48053424657542</v>
      </c>
      <c r="X22" s="56">
        <f t="shared" si="74"/>
        <v>813.48053424657542</v>
      </c>
      <c r="Y22" s="56">
        <f t="shared" si="74"/>
        <v>813.48053424657542</v>
      </c>
      <c r="Z22" s="56">
        <f t="shared" si="74"/>
        <v>813.48053424657542</v>
      </c>
      <c r="AA22" s="56">
        <f t="shared" si="74"/>
        <v>813.48053424657542</v>
      </c>
      <c r="AB22" s="56">
        <f t="shared" si="74"/>
        <v>813.48053424657542</v>
      </c>
      <c r="AC22" s="56">
        <f t="shared" si="74"/>
        <v>839.34672702739726</v>
      </c>
      <c r="AD22" s="56">
        <f t="shared" si="74"/>
        <v>839.34672702739726</v>
      </c>
      <c r="AE22" s="56">
        <f t="shared" si="74"/>
        <v>839.34672702739726</v>
      </c>
      <c r="AF22" s="56">
        <f t="shared" si="74"/>
        <v>839.34672702739726</v>
      </c>
      <c r="AG22" s="56">
        <f t="shared" si="74"/>
        <v>839.34672702739726</v>
      </c>
      <c r="AH22" s="56">
        <f t="shared" si="74"/>
        <v>839.34672702739726</v>
      </c>
      <c r="AI22" s="56">
        <f t="shared" si="74"/>
        <v>839.34672702739726</v>
      </c>
      <c r="AJ22" s="56">
        <f t="shared" si="74"/>
        <v>839.34672702739726</v>
      </c>
      <c r="AK22" s="56">
        <f t="shared" si="74"/>
        <v>839.34672702739726</v>
      </c>
      <c r="AL22" s="56">
        <f t="shared" si="74"/>
        <v>839.34672702739726</v>
      </c>
      <c r="AM22" s="56">
        <f t="shared" si="74"/>
        <v>839.34672702739726</v>
      </c>
      <c r="AN22" s="56">
        <f t="shared" si="74"/>
        <v>839.34672702739726</v>
      </c>
      <c r="AO22" s="56">
        <f t="shared" si="74"/>
        <v>0</v>
      </c>
      <c r="AP22" s="56">
        <f t="shared" si="74"/>
        <v>0</v>
      </c>
      <c r="AQ22" s="56">
        <f t="shared" si="74"/>
        <v>0</v>
      </c>
      <c r="AR22" s="56">
        <f t="shared" si="74"/>
        <v>0</v>
      </c>
      <c r="AS22" s="56">
        <f t="shared" si="74"/>
        <v>0</v>
      </c>
      <c r="AT22" s="56">
        <f t="shared" si="74"/>
        <v>0</v>
      </c>
      <c r="AU22" s="56">
        <f t="shared" si="74"/>
        <v>0</v>
      </c>
      <c r="AV22" s="56">
        <f t="shared" si="74"/>
        <v>0</v>
      </c>
      <c r="AW22" s="56">
        <f t="shared" si="74"/>
        <v>0</v>
      </c>
      <c r="AX22" s="56">
        <f t="shared" si="74"/>
        <v>0</v>
      </c>
      <c r="AY22" s="56">
        <f t="shared" si="74"/>
        <v>0</v>
      </c>
      <c r="AZ22" s="56">
        <f t="shared" si="74"/>
        <v>0</v>
      </c>
      <c r="BA22" s="56">
        <f t="shared" si="74"/>
        <v>0</v>
      </c>
      <c r="BB22" s="56">
        <f t="shared" si="74"/>
        <v>0</v>
      </c>
      <c r="BC22" s="56">
        <f t="shared" si="74"/>
        <v>0</v>
      </c>
      <c r="BD22" s="56">
        <f t="shared" si="74"/>
        <v>0</v>
      </c>
      <c r="BE22" s="56">
        <f t="shared" si="74"/>
        <v>0</v>
      </c>
      <c r="BF22" s="56">
        <f t="shared" si="74"/>
        <v>0</v>
      </c>
      <c r="BG22" s="56">
        <f t="shared" si="74"/>
        <v>0</v>
      </c>
      <c r="BH22" s="56">
        <f t="shared" si="74"/>
        <v>0</v>
      </c>
      <c r="BI22" s="56">
        <f t="shared" si="74"/>
        <v>0</v>
      </c>
      <c r="BJ22" s="56">
        <f t="shared" si="74"/>
        <v>0</v>
      </c>
      <c r="BK22" s="56">
        <f t="shared" si="74"/>
        <v>0</v>
      </c>
      <c r="BL22" s="56">
        <f t="shared" si="74"/>
        <v>0</v>
      </c>
    </row>
    <row r="23" spans="2:64" x14ac:dyDescent="0.2"/>
    <row r="24" spans="2:64" x14ac:dyDescent="0.2">
      <c r="C24" s="36" t="s">
        <v>104</v>
      </c>
      <c r="E24" s="55">
        <f t="shared" ref="E24" si="75">IF(OR(E3&lt;1,E3=""),"",IF(Strategy="Flip",0,IF(E22&gt;0,Provision*-E22,0)))</f>
        <v>0</v>
      </c>
      <c r="F24" s="55">
        <f t="shared" ref="F24:BL24" si="76">IF(OR(F3&lt;1,F3=""),"",IF(Strategy="Flip",0,IF(F22&gt;0,Provision*-F22,0)))</f>
        <v>0</v>
      </c>
      <c r="G24" s="55">
        <f t="shared" si="76"/>
        <v>-78.82602739726029</v>
      </c>
      <c r="H24" s="55">
        <f t="shared" si="76"/>
        <v>-78.82602739726029</v>
      </c>
      <c r="I24" s="55">
        <f t="shared" si="76"/>
        <v>-78.82602739726029</v>
      </c>
      <c r="J24" s="55">
        <f t="shared" si="76"/>
        <v>-78.82602739726029</v>
      </c>
      <c r="K24" s="55">
        <f t="shared" si="76"/>
        <v>-78.82602739726029</v>
      </c>
      <c r="L24" s="55">
        <f t="shared" si="76"/>
        <v>-78.82602739726029</v>
      </c>
      <c r="M24" s="55">
        <f t="shared" si="76"/>
        <v>-78.82602739726029</v>
      </c>
      <c r="N24" s="55">
        <f t="shared" si="76"/>
        <v>-78.82602739726029</v>
      </c>
      <c r="O24" s="55">
        <f t="shared" si="76"/>
        <v>-78.82602739726029</v>
      </c>
      <c r="P24" s="55">
        <f t="shared" si="76"/>
        <v>-78.82602739726029</v>
      </c>
      <c r="Q24" s="55">
        <f t="shared" si="76"/>
        <v>-81.34805342465755</v>
      </c>
      <c r="R24" s="55">
        <f t="shared" si="76"/>
        <v>-81.34805342465755</v>
      </c>
      <c r="S24" s="55">
        <f t="shared" si="76"/>
        <v>-81.34805342465755</v>
      </c>
      <c r="T24" s="55">
        <f t="shared" si="76"/>
        <v>-81.34805342465755</v>
      </c>
      <c r="U24" s="55">
        <f t="shared" si="76"/>
        <v>-81.34805342465755</v>
      </c>
      <c r="V24" s="55">
        <f t="shared" si="76"/>
        <v>-81.34805342465755</v>
      </c>
      <c r="W24" s="55">
        <f t="shared" si="76"/>
        <v>-81.34805342465755</v>
      </c>
      <c r="X24" s="55">
        <f t="shared" si="76"/>
        <v>-81.34805342465755</v>
      </c>
      <c r="Y24" s="55">
        <f t="shared" si="76"/>
        <v>-81.34805342465755</v>
      </c>
      <c r="Z24" s="55">
        <f t="shared" si="76"/>
        <v>-81.34805342465755</v>
      </c>
      <c r="AA24" s="55">
        <f t="shared" si="76"/>
        <v>-81.34805342465755</v>
      </c>
      <c r="AB24" s="55">
        <f t="shared" si="76"/>
        <v>-81.34805342465755</v>
      </c>
      <c r="AC24" s="55">
        <f t="shared" si="76"/>
        <v>-83.934672702739732</v>
      </c>
      <c r="AD24" s="55">
        <f t="shared" si="76"/>
        <v>-83.934672702739732</v>
      </c>
      <c r="AE24" s="55">
        <f t="shared" si="76"/>
        <v>-83.934672702739732</v>
      </c>
      <c r="AF24" s="55">
        <f t="shared" si="76"/>
        <v>-83.934672702739732</v>
      </c>
      <c r="AG24" s="55">
        <f t="shared" si="76"/>
        <v>-83.934672702739732</v>
      </c>
      <c r="AH24" s="55">
        <f t="shared" si="76"/>
        <v>-83.934672702739732</v>
      </c>
      <c r="AI24" s="55">
        <f t="shared" si="76"/>
        <v>-83.934672702739732</v>
      </c>
      <c r="AJ24" s="55">
        <f t="shared" si="76"/>
        <v>-83.934672702739732</v>
      </c>
      <c r="AK24" s="55">
        <f t="shared" si="76"/>
        <v>-83.934672702739732</v>
      </c>
      <c r="AL24" s="55">
        <f t="shared" si="76"/>
        <v>-83.934672702739732</v>
      </c>
      <c r="AM24" s="55">
        <f t="shared" si="76"/>
        <v>-83.934672702739732</v>
      </c>
      <c r="AN24" s="55">
        <f t="shared" si="76"/>
        <v>-83.934672702739732</v>
      </c>
      <c r="AO24" s="55">
        <f t="shared" si="76"/>
        <v>0</v>
      </c>
      <c r="AP24" s="55">
        <f t="shared" si="76"/>
        <v>0</v>
      </c>
      <c r="AQ24" s="55">
        <f t="shared" si="76"/>
        <v>0</v>
      </c>
      <c r="AR24" s="55">
        <f t="shared" si="76"/>
        <v>0</v>
      </c>
      <c r="AS24" s="55">
        <f t="shared" si="76"/>
        <v>0</v>
      </c>
      <c r="AT24" s="55">
        <f t="shared" si="76"/>
        <v>0</v>
      </c>
      <c r="AU24" s="55">
        <f t="shared" si="76"/>
        <v>0</v>
      </c>
      <c r="AV24" s="55">
        <f t="shared" si="76"/>
        <v>0</v>
      </c>
      <c r="AW24" s="55">
        <f t="shared" si="76"/>
        <v>0</v>
      </c>
      <c r="AX24" s="55">
        <f t="shared" si="76"/>
        <v>0</v>
      </c>
      <c r="AY24" s="55">
        <f t="shared" si="76"/>
        <v>0</v>
      </c>
      <c r="AZ24" s="55">
        <f t="shared" si="76"/>
        <v>0</v>
      </c>
      <c r="BA24" s="55">
        <f t="shared" si="76"/>
        <v>0</v>
      </c>
      <c r="BB24" s="55">
        <f t="shared" si="76"/>
        <v>0</v>
      </c>
      <c r="BC24" s="55">
        <f t="shared" si="76"/>
        <v>0</v>
      </c>
      <c r="BD24" s="55">
        <f t="shared" si="76"/>
        <v>0</v>
      </c>
      <c r="BE24" s="55">
        <f t="shared" si="76"/>
        <v>0</v>
      </c>
      <c r="BF24" s="55">
        <f t="shared" si="76"/>
        <v>0</v>
      </c>
      <c r="BG24" s="55">
        <f t="shared" si="76"/>
        <v>0</v>
      </c>
      <c r="BH24" s="55">
        <f t="shared" si="76"/>
        <v>0</v>
      </c>
      <c r="BI24" s="55">
        <f t="shared" si="76"/>
        <v>0</v>
      </c>
      <c r="BJ24" s="55">
        <f t="shared" si="76"/>
        <v>0</v>
      </c>
      <c r="BK24" s="55">
        <f t="shared" si="76"/>
        <v>0</v>
      </c>
      <c r="BL24" s="55">
        <f t="shared" si="76"/>
        <v>0</v>
      </c>
    </row>
    <row r="25" spans="2:64" x14ac:dyDescent="0.2">
      <c r="C25" s="36" t="s">
        <v>90</v>
      </c>
      <c r="E25" s="55">
        <f>IF(AND(E3&gt;0,E3&lt;='Inputs &amp; Summary'!$F$11),MIN(-Budget/'Inputs &amp; Summary'!$F$11,-Prelim_Budget/'Inputs &amp; Summary'!$F$11),0)</f>
        <v>-12500</v>
      </c>
      <c r="F25" s="55">
        <f>IF(AND(F3&gt;0,F3&lt;='Inputs &amp; Summary'!$F$11),MIN(-Budget/'Inputs &amp; Summary'!$F$11,-Prelim_Budget/'Inputs &amp; Summary'!$F$11),0)</f>
        <v>-12500</v>
      </c>
      <c r="G25" s="55">
        <f>IF(AND(G3&gt;0,G3&lt;='Inputs &amp; Summary'!$F$11),MIN(-Budget/'Inputs &amp; Summary'!$F$11,-Prelim_Budget/'Inputs &amp; Summary'!$F$11),0)</f>
        <v>0</v>
      </c>
      <c r="H25" s="55">
        <f>IF(AND(H3&gt;0,H3&lt;='Inputs &amp; Summary'!$F$11),MIN(-Budget/'Inputs &amp; Summary'!$F$11,-Prelim_Budget/'Inputs &amp; Summary'!$F$11),0)</f>
        <v>0</v>
      </c>
      <c r="I25" s="55">
        <f>IF(AND(I3&gt;0,I3&lt;='Inputs &amp; Summary'!$F$11),MIN(-Budget/'Inputs &amp; Summary'!$F$11,-Prelim_Budget/'Inputs &amp; Summary'!$F$11),0)</f>
        <v>0</v>
      </c>
      <c r="J25" s="55">
        <f>IF(AND(J3&gt;0,J3&lt;='Inputs &amp; Summary'!$F$11),MIN(-Budget/'Inputs &amp; Summary'!$F$11,-Prelim_Budget/'Inputs &amp; Summary'!$F$11),0)</f>
        <v>0</v>
      </c>
      <c r="K25" s="55">
        <f>IF(AND(K3&gt;0,K3&lt;='Inputs &amp; Summary'!$F$11),MIN(-Budget/'Inputs &amp; Summary'!$F$11,-Prelim_Budget/'Inputs &amp; Summary'!$F$11),0)</f>
        <v>0</v>
      </c>
      <c r="L25" s="55">
        <f>IF(AND(L3&gt;0,L3&lt;='Inputs &amp; Summary'!$F$11),MIN(-Budget/'Inputs &amp; Summary'!$F$11,-Prelim_Budget/'Inputs &amp; Summary'!$F$11),0)</f>
        <v>0</v>
      </c>
      <c r="M25" s="55">
        <f>IF(AND(M3&gt;0,M3&lt;='Inputs &amp; Summary'!$F$11),MIN(-Budget/'Inputs &amp; Summary'!$F$11,-Prelim_Budget/'Inputs &amp; Summary'!$F$11),0)</f>
        <v>0</v>
      </c>
      <c r="N25" s="55">
        <f>IF(AND(N3&gt;0,N3&lt;='Inputs &amp; Summary'!$F$11),MIN(-Budget/'Inputs &amp; Summary'!$F$11,-Prelim_Budget/'Inputs &amp; Summary'!$F$11),0)</f>
        <v>0</v>
      </c>
      <c r="O25" s="55">
        <f>IF(AND(O3&gt;0,O3&lt;='Inputs &amp; Summary'!$F$11),MIN(-Budget/'Inputs &amp; Summary'!$F$11,-Prelim_Budget/'Inputs &amp; Summary'!$F$11),0)</f>
        <v>0</v>
      </c>
      <c r="P25" s="55">
        <f>IF(AND(P3&gt;0,P3&lt;='Inputs &amp; Summary'!$F$11),MIN(-Budget/'Inputs &amp; Summary'!$F$11,-Prelim_Budget/'Inputs &amp; Summary'!$F$11),0)</f>
        <v>0</v>
      </c>
      <c r="Q25" s="55">
        <f>IF(AND(Q3&gt;0,Q3&lt;='Inputs &amp; Summary'!$F$11),MIN(-Budget/'Inputs &amp; Summary'!$F$11,-Prelim_Budget/'Inputs &amp; Summary'!$F$11),0)</f>
        <v>0</v>
      </c>
      <c r="R25" s="55">
        <f>IF(AND(R3&gt;0,R3&lt;='Inputs &amp; Summary'!$F$11),MIN(-Budget/'Inputs &amp; Summary'!$F$11,-Prelim_Budget/'Inputs &amp; Summary'!$F$11),0)</f>
        <v>0</v>
      </c>
      <c r="S25" s="55">
        <f>IF(AND(S3&gt;0,S3&lt;='Inputs &amp; Summary'!$F$11),MIN(-Budget/'Inputs &amp; Summary'!$F$11,-Prelim_Budget/'Inputs &amp; Summary'!$F$11),0)</f>
        <v>0</v>
      </c>
      <c r="T25" s="55">
        <f>IF(AND(T3&gt;0,T3&lt;='Inputs &amp; Summary'!$F$11),MIN(-Budget/'Inputs &amp; Summary'!$F$11,-Prelim_Budget/'Inputs &amp; Summary'!$F$11),0)</f>
        <v>0</v>
      </c>
      <c r="U25" s="55">
        <f>IF(AND(U3&gt;0,U3&lt;='Inputs &amp; Summary'!$F$11),MIN(-Budget/'Inputs &amp; Summary'!$F$11,-Prelim_Budget/'Inputs &amp; Summary'!$F$11),0)</f>
        <v>0</v>
      </c>
      <c r="V25" s="55">
        <f>IF(AND(V3&gt;0,V3&lt;='Inputs &amp; Summary'!$F$11),MIN(-Budget/'Inputs &amp; Summary'!$F$11,-Prelim_Budget/'Inputs &amp; Summary'!$F$11),0)</f>
        <v>0</v>
      </c>
      <c r="W25" s="55">
        <f>IF(AND(W3&gt;0,W3&lt;='Inputs &amp; Summary'!$F$11),MIN(-Budget/'Inputs &amp; Summary'!$F$11,-Prelim_Budget/'Inputs &amp; Summary'!$F$11),0)</f>
        <v>0</v>
      </c>
      <c r="X25" s="55">
        <f>IF(AND(X3&gt;0,X3&lt;='Inputs &amp; Summary'!$F$11),MIN(-Budget/'Inputs &amp; Summary'!$F$11,-Prelim_Budget/'Inputs &amp; Summary'!$F$11),0)</f>
        <v>0</v>
      </c>
      <c r="Y25" s="55">
        <f>IF(AND(Y3&gt;0,Y3&lt;='Inputs &amp; Summary'!$F$11),MIN(-Budget/'Inputs &amp; Summary'!$F$11,-Prelim_Budget/'Inputs &amp; Summary'!$F$11),0)</f>
        <v>0</v>
      </c>
      <c r="Z25" s="55">
        <f>IF(AND(Z3&gt;0,Z3&lt;='Inputs &amp; Summary'!$F$11),MIN(-Budget/'Inputs &amp; Summary'!$F$11,-Prelim_Budget/'Inputs &amp; Summary'!$F$11),0)</f>
        <v>0</v>
      </c>
      <c r="AA25" s="55">
        <f>IF(AND(AA3&gt;0,AA3&lt;='Inputs &amp; Summary'!$F$11),MIN(-Budget/'Inputs &amp; Summary'!$F$11,-Prelim_Budget/'Inputs &amp; Summary'!$F$11),0)</f>
        <v>0</v>
      </c>
      <c r="AB25" s="55">
        <f>IF(AND(AB3&gt;0,AB3&lt;='Inputs &amp; Summary'!$F$11),MIN(-Budget/'Inputs &amp; Summary'!$F$11,-Prelim_Budget/'Inputs &amp; Summary'!$F$11),0)</f>
        <v>0</v>
      </c>
      <c r="AC25" s="55">
        <f>IF(AND(AC3&gt;0,AC3&lt;='Inputs &amp; Summary'!$F$11),MIN(-Budget/'Inputs &amp; Summary'!$F$11,-Prelim_Budget/'Inputs &amp; Summary'!$F$11),0)</f>
        <v>0</v>
      </c>
      <c r="AD25" s="55">
        <f>IF(AND(AD3&gt;0,AD3&lt;='Inputs &amp; Summary'!$F$11),MIN(-Budget/'Inputs &amp; Summary'!$F$11,-Prelim_Budget/'Inputs &amp; Summary'!$F$11),0)</f>
        <v>0</v>
      </c>
      <c r="AE25" s="55">
        <f>IF(AND(AE3&gt;0,AE3&lt;='Inputs &amp; Summary'!$F$11),MIN(-Budget/'Inputs &amp; Summary'!$F$11,-Prelim_Budget/'Inputs &amp; Summary'!$F$11),0)</f>
        <v>0</v>
      </c>
      <c r="AF25" s="55">
        <f>IF(AND(AF3&gt;0,AF3&lt;='Inputs &amp; Summary'!$F$11),MIN(-Budget/'Inputs &amp; Summary'!$F$11,-Prelim_Budget/'Inputs &amp; Summary'!$F$11),0)</f>
        <v>0</v>
      </c>
      <c r="AG25" s="55">
        <f>IF(AND(AG3&gt;0,AG3&lt;='Inputs &amp; Summary'!$F$11),MIN(-Budget/'Inputs &amp; Summary'!$F$11,-Prelim_Budget/'Inputs &amp; Summary'!$F$11),0)</f>
        <v>0</v>
      </c>
      <c r="AH25" s="55">
        <f>IF(AND(AH3&gt;0,AH3&lt;='Inputs &amp; Summary'!$F$11),MIN(-Budget/'Inputs &amp; Summary'!$F$11,-Prelim_Budget/'Inputs &amp; Summary'!$F$11),0)</f>
        <v>0</v>
      </c>
      <c r="AI25" s="55">
        <f>IF(AND(AI3&gt;0,AI3&lt;='Inputs &amp; Summary'!$F$11),MIN(-Budget/'Inputs &amp; Summary'!$F$11,-Prelim_Budget/'Inputs &amp; Summary'!$F$11),0)</f>
        <v>0</v>
      </c>
      <c r="AJ25" s="55">
        <f>IF(AND(AJ3&gt;0,AJ3&lt;='Inputs &amp; Summary'!$F$11),MIN(-Budget/'Inputs &amp; Summary'!$F$11,-Prelim_Budget/'Inputs &amp; Summary'!$F$11),0)</f>
        <v>0</v>
      </c>
      <c r="AK25" s="55">
        <f>IF(AND(AK3&gt;0,AK3&lt;='Inputs &amp; Summary'!$F$11),MIN(-Budget/'Inputs &amp; Summary'!$F$11,-Prelim_Budget/'Inputs &amp; Summary'!$F$11),0)</f>
        <v>0</v>
      </c>
      <c r="AL25" s="55">
        <f>IF(AND(AL3&gt;0,AL3&lt;='Inputs &amp; Summary'!$F$11),MIN(-Budget/'Inputs &amp; Summary'!$F$11,-Prelim_Budget/'Inputs &amp; Summary'!$F$11),0)</f>
        <v>0</v>
      </c>
      <c r="AM25" s="55">
        <f>IF(AND(AM3&gt;0,AM3&lt;='Inputs &amp; Summary'!$F$11),MIN(-Budget/'Inputs &amp; Summary'!$F$11,-Prelim_Budget/'Inputs &amp; Summary'!$F$11),0)</f>
        <v>0</v>
      </c>
      <c r="AN25" s="55">
        <f>IF(AND(AN3&gt;0,AN3&lt;='Inputs &amp; Summary'!$F$11),MIN(-Budget/'Inputs &amp; Summary'!$F$11,-Prelim_Budget/'Inputs &amp; Summary'!$F$11),0)</f>
        <v>0</v>
      </c>
      <c r="AO25" s="55">
        <f>IF(AND(AO3&gt;0,AO3&lt;='Inputs &amp; Summary'!$F$11),MIN(-Budget/'Inputs &amp; Summary'!$F$11,-Prelim_Budget/'Inputs &amp; Summary'!$F$11),0)</f>
        <v>0</v>
      </c>
      <c r="AP25" s="55">
        <f>IF(AND(AP3&gt;0,AP3&lt;='Inputs &amp; Summary'!$F$11),MIN(-Budget/'Inputs &amp; Summary'!$F$11,-Prelim_Budget/'Inputs &amp; Summary'!$F$11),0)</f>
        <v>0</v>
      </c>
      <c r="AQ25" s="55">
        <f>IF(AND(AQ3&gt;0,AQ3&lt;='Inputs &amp; Summary'!$F$11),MIN(-Budget/'Inputs &amp; Summary'!$F$11,-Prelim_Budget/'Inputs &amp; Summary'!$F$11),0)</f>
        <v>0</v>
      </c>
      <c r="AR25" s="55">
        <f>IF(AND(AR3&gt;0,AR3&lt;='Inputs &amp; Summary'!$F$11),MIN(-Budget/'Inputs &amp; Summary'!$F$11,-Prelim_Budget/'Inputs &amp; Summary'!$F$11),0)</f>
        <v>0</v>
      </c>
      <c r="AS25" s="55">
        <f>IF(AND(AS3&gt;0,AS3&lt;='Inputs &amp; Summary'!$F$11),MIN(-Budget/'Inputs &amp; Summary'!$F$11,-Prelim_Budget/'Inputs &amp; Summary'!$F$11),0)</f>
        <v>0</v>
      </c>
      <c r="AT25" s="55">
        <f>IF(AND(AT3&gt;0,AT3&lt;='Inputs &amp; Summary'!$F$11),MIN(-Budget/'Inputs &amp; Summary'!$F$11,-Prelim_Budget/'Inputs &amp; Summary'!$F$11),0)</f>
        <v>0</v>
      </c>
      <c r="AU25" s="55">
        <f>IF(AND(AU3&gt;0,AU3&lt;='Inputs &amp; Summary'!$F$11),MIN(-Budget/'Inputs &amp; Summary'!$F$11,-Prelim_Budget/'Inputs &amp; Summary'!$F$11),0)</f>
        <v>0</v>
      </c>
      <c r="AV25" s="55">
        <f>IF(AND(AV3&gt;0,AV3&lt;='Inputs &amp; Summary'!$F$11),MIN(-Budget/'Inputs &amp; Summary'!$F$11,-Prelim_Budget/'Inputs &amp; Summary'!$F$11),0)</f>
        <v>0</v>
      </c>
      <c r="AW25" s="55">
        <f>IF(AND(AW3&gt;0,AW3&lt;='Inputs &amp; Summary'!$F$11),MIN(-Budget/'Inputs &amp; Summary'!$F$11,-Prelim_Budget/'Inputs &amp; Summary'!$F$11),0)</f>
        <v>0</v>
      </c>
      <c r="AX25" s="55">
        <f>IF(AND(AX3&gt;0,AX3&lt;='Inputs &amp; Summary'!$F$11),MIN(-Budget/'Inputs &amp; Summary'!$F$11,-Prelim_Budget/'Inputs &amp; Summary'!$F$11),0)</f>
        <v>0</v>
      </c>
      <c r="AY25" s="55">
        <f>IF(AND(AY3&gt;0,AY3&lt;='Inputs &amp; Summary'!$F$11),MIN(-Budget/'Inputs &amp; Summary'!$F$11,-Prelim_Budget/'Inputs &amp; Summary'!$F$11),0)</f>
        <v>0</v>
      </c>
      <c r="AZ25" s="55">
        <f>IF(AND(AZ3&gt;0,AZ3&lt;='Inputs &amp; Summary'!$F$11),MIN(-Budget/'Inputs &amp; Summary'!$F$11,-Prelim_Budget/'Inputs &amp; Summary'!$F$11),0)</f>
        <v>0</v>
      </c>
      <c r="BA25" s="55">
        <f>IF(AND(BA3&gt;0,BA3&lt;='Inputs &amp; Summary'!$F$11),MIN(-Budget/'Inputs &amp; Summary'!$F$11,-Prelim_Budget/'Inputs &amp; Summary'!$F$11),0)</f>
        <v>0</v>
      </c>
      <c r="BB25" s="55">
        <f>IF(AND(BB3&gt;0,BB3&lt;='Inputs &amp; Summary'!$F$11),MIN(-Budget/'Inputs &amp; Summary'!$F$11,-Prelim_Budget/'Inputs &amp; Summary'!$F$11),0)</f>
        <v>0</v>
      </c>
      <c r="BC25" s="55">
        <f>IF(AND(BC3&gt;0,BC3&lt;='Inputs &amp; Summary'!$F$11),MIN(-Budget/'Inputs &amp; Summary'!$F$11,-Prelim_Budget/'Inputs &amp; Summary'!$F$11),0)</f>
        <v>0</v>
      </c>
      <c r="BD25" s="55">
        <f>IF(AND(BD3&gt;0,BD3&lt;='Inputs &amp; Summary'!$F$11),MIN(-Budget/'Inputs &amp; Summary'!$F$11,-Prelim_Budget/'Inputs &amp; Summary'!$F$11),0)</f>
        <v>0</v>
      </c>
      <c r="BE25" s="55">
        <f>IF(AND(BE3&gt;0,BE3&lt;='Inputs &amp; Summary'!$F$11),MIN(-Budget/'Inputs &amp; Summary'!$F$11,-Prelim_Budget/'Inputs &amp; Summary'!$F$11),0)</f>
        <v>0</v>
      </c>
      <c r="BF25" s="55">
        <f>IF(AND(BF3&gt;0,BF3&lt;='Inputs &amp; Summary'!$F$11),MIN(-Budget/'Inputs &amp; Summary'!$F$11,-Prelim_Budget/'Inputs &amp; Summary'!$F$11),0)</f>
        <v>0</v>
      </c>
      <c r="BG25" s="55">
        <f>IF(AND(BG3&gt;0,BG3&lt;='Inputs &amp; Summary'!$F$11),MIN(-Budget/'Inputs &amp; Summary'!$F$11,-Prelim_Budget/'Inputs &amp; Summary'!$F$11),0)</f>
        <v>0</v>
      </c>
      <c r="BH25" s="55">
        <f>IF(AND(BH3&gt;0,BH3&lt;='Inputs &amp; Summary'!$F$11),MIN(-Budget/'Inputs &amp; Summary'!$F$11,-Prelim_Budget/'Inputs &amp; Summary'!$F$11),0)</f>
        <v>0</v>
      </c>
      <c r="BI25" s="55">
        <f>IF(AND(BI3&gt;0,BI3&lt;='Inputs &amp; Summary'!$F$11),MIN(-Budget/'Inputs &amp; Summary'!$F$11,-Prelim_Budget/'Inputs &amp; Summary'!$F$11),0)</f>
        <v>0</v>
      </c>
      <c r="BJ25" s="55">
        <f>IF(AND(BJ3&gt;0,BJ3&lt;='Inputs &amp; Summary'!$F$11),MIN(-Budget/'Inputs &amp; Summary'!$F$11,-Prelim_Budget/'Inputs &amp; Summary'!$F$11),0)</f>
        <v>0</v>
      </c>
      <c r="BK25" s="55">
        <f>IF(AND(BK3&gt;0,BK3&lt;='Inputs &amp; Summary'!$F$11),MIN(-Budget/'Inputs &amp; Summary'!$F$11,-Prelim_Budget/'Inputs &amp; Summary'!$F$11),0)</f>
        <v>0</v>
      </c>
      <c r="BL25" s="55">
        <f>IF(AND(BL3&gt;0,BL3&lt;='Inputs &amp; Summary'!$F$11),MIN(-Budget/'Inputs &amp; Summary'!$F$11,-Prelim_Budget/'Inputs &amp; Summary'!$F$11),0)</f>
        <v>0</v>
      </c>
    </row>
    <row r="26" spans="2:64" x14ac:dyDescent="0.2">
      <c r="C26" s="39" t="s">
        <v>91</v>
      </c>
      <c r="D26" s="56">
        <f t="shared" ref="D26:BL26" si="77">SUM(D24:D25,D22)</f>
        <v>0</v>
      </c>
      <c r="E26" s="57">
        <f t="shared" si="77"/>
        <v>-12575</v>
      </c>
      <c r="F26" s="57">
        <f t="shared" si="77"/>
        <v>-12575</v>
      </c>
      <c r="G26" s="57">
        <f t="shared" si="77"/>
        <v>709.43424657534251</v>
      </c>
      <c r="H26" s="57">
        <f t="shared" si="77"/>
        <v>709.43424657534251</v>
      </c>
      <c r="I26" s="57">
        <f t="shared" si="77"/>
        <v>709.43424657534251</v>
      </c>
      <c r="J26" s="57">
        <f t="shared" si="77"/>
        <v>709.43424657534251</v>
      </c>
      <c r="K26" s="57">
        <f t="shared" si="77"/>
        <v>709.43424657534251</v>
      </c>
      <c r="L26" s="57">
        <f t="shared" si="77"/>
        <v>709.43424657534251</v>
      </c>
      <c r="M26" s="57">
        <f t="shared" si="77"/>
        <v>709.43424657534251</v>
      </c>
      <c r="N26" s="57">
        <f t="shared" si="77"/>
        <v>709.43424657534251</v>
      </c>
      <c r="O26" s="57">
        <f t="shared" si="77"/>
        <v>709.43424657534251</v>
      </c>
      <c r="P26" s="57">
        <f t="shared" si="77"/>
        <v>709.43424657534251</v>
      </c>
      <c r="Q26" s="57">
        <f t="shared" si="77"/>
        <v>732.13248082191785</v>
      </c>
      <c r="R26" s="57">
        <f t="shared" si="77"/>
        <v>732.13248082191785</v>
      </c>
      <c r="S26" s="57">
        <f t="shared" si="77"/>
        <v>732.13248082191785</v>
      </c>
      <c r="T26" s="57">
        <f t="shared" si="77"/>
        <v>732.13248082191785</v>
      </c>
      <c r="U26" s="57">
        <f t="shared" si="77"/>
        <v>732.13248082191785</v>
      </c>
      <c r="V26" s="57">
        <f t="shared" si="77"/>
        <v>732.13248082191785</v>
      </c>
      <c r="W26" s="57">
        <f t="shared" si="77"/>
        <v>732.13248082191785</v>
      </c>
      <c r="X26" s="57">
        <f t="shared" si="77"/>
        <v>732.13248082191785</v>
      </c>
      <c r="Y26" s="57">
        <f t="shared" si="77"/>
        <v>732.13248082191785</v>
      </c>
      <c r="Z26" s="57">
        <f t="shared" si="77"/>
        <v>732.13248082191785</v>
      </c>
      <c r="AA26" s="57">
        <f t="shared" si="77"/>
        <v>732.13248082191785</v>
      </c>
      <c r="AB26" s="57">
        <f t="shared" si="77"/>
        <v>732.13248082191785</v>
      </c>
      <c r="AC26" s="57">
        <f t="shared" si="77"/>
        <v>755.41205432465756</v>
      </c>
      <c r="AD26" s="57">
        <f t="shared" si="77"/>
        <v>755.41205432465756</v>
      </c>
      <c r="AE26" s="57">
        <f t="shared" si="77"/>
        <v>755.41205432465756</v>
      </c>
      <c r="AF26" s="57">
        <f t="shared" si="77"/>
        <v>755.41205432465756</v>
      </c>
      <c r="AG26" s="57">
        <f t="shared" si="77"/>
        <v>755.41205432465756</v>
      </c>
      <c r="AH26" s="57">
        <f t="shared" si="77"/>
        <v>755.41205432465756</v>
      </c>
      <c r="AI26" s="57">
        <f t="shared" si="77"/>
        <v>755.41205432465756</v>
      </c>
      <c r="AJ26" s="57">
        <f t="shared" si="77"/>
        <v>755.41205432465756</v>
      </c>
      <c r="AK26" s="57">
        <f t="shared" si="77"/>
        <v>755.41205432465756</v>
      </c>
      <c r="AL26" s="57">
        <f t="shared" si="77"/>
        <v>755.41205432465756</v>
      </c>
      <c r="AM26" s="57">
        <f t="shared" si="77"/>
        <v>755.41205432465756</v>
      </c>
      <c r="AN26" s="57">
        <f t="shared" si="77"/>
        <v>755.41205432465756</v>
      </c>
      <c r="AO26" s="57">
        <f t="shared" si="77"/>
        <v>0</v>
      </c>
      <c r="AP26" s="57">
        <f t="shared" si="77"/>
        <v>0</v>
      </c>
      <c r="AQ26" s="57">
        <f t="shared" si="77"/>
        <v>0</v>
      </c>
      <c r="AR26" s="57">
        <f t="shared" si="77"/>
        <v>0</v>
      </c>
      <c r="AS26" s="57">
        <f t="shared" si="77"/>
        <v>0</v>
      </c>
      <c r="AT26" s="57">
        <f t="shared" si="77"/>
        <v>0</v>
      </c>
      <c r="AU26" s="57">
        <f t="shared" si="77"/>
        <v>0</v>
      </c>
      <c r="AV26" s="57">
        <f t="shared" si="77"/>
        <v>0</v>
      </c>
      <c r="AW26" s="57">
        <f t="shared" si="77"/>
        <v>0</v>
      </c>
      <c r="AX26" s="57">
        <f t="shared" si="77"/>
        <v>0</v>
      </c>
      <c r="AY26" s="57">
        <f t="shared" si="77"/>
        <v>0</v>
      </c>
      <c r="AZ26" s="57">
        <f t="shared" si="77"/>
        <v>0</v>
      </c>
      <c r="BA26" s="57">
        <f t="shared" si="77"/>
        <v>0</v>
      </c>
      <c r="BB26" s="57">
        <f t="shared" si="77"/>
        <v>0</v>
      </c>
      <c r="BC26" s="57">
        <f t="shared" si="77"/>
        <v>0</v>
      </c>
      <c r="BD26" s="57">
        <f t="shared" si="77"/>
        <v>0</v>
      </c>
      <c r="BE26" s="57">
        <f t="shared" si="77"/>
        <v>0</v>
      </c>
      <c r="BF26" s="57">
        <f t="shared" si="77"/>
        <v>0</v>
      </c>
      <c r="BG26" s="57">
        <f t="shared" si="77"/>
        <v>0</v>
      </c>
      <c r="BH26" s="57">
        <f t="shared" si="77"/>
        <v>0</v>
      </c>
      <c r="BI26" s="57">
        <f t="shared" si="77"/>
        <v>0</v>
      </c>
      <c r="BJ26" s="57">
        <f t="shared" si="77"/>
        <v>0</v>
      </c>
      <c r="BK26" s="57">
        <f t="shared" si="77"/>
        <v>0</v>
      </c>
      <c r="BL26" s="57">
        <f t="shared" si="77"/>
        <v>0</v>
      </c>
    </row>
    <row r="27" spans="2:64" x14ac:dyDescent="0.2"/>
    <row r="28" spans="2:64" x14ac:dyDescent="0.2">
      <c r="B28" s="45" t="s">
        <v>92</v>
      </c>
    </row>
    <row r="29" spans="2:64" x14ac:dyDescent="0.2">
      <c r="C29" s="36" t="s">
        <v>106</v>
      </c>
      <c r="D29" s="55">
        <f t="shared" ref="D29:AI29" si="78">IF(D4=Purch_Date,Loan_Amount,0)</f>
        <v>80000</v>
      </c>
      <c r="E29" s="55">
        <f t="shared" si="78"/>
        <v>0</v>
      </c>
      <c r="F29" s="55">
        <f t="shared" si="78"/>
        <v>0</v>
      </c>
      <c r="G29" s="55">
        <f t="shared" si="78"/>
        <v>0</v>
      </c>
      <c r="H29" s="55">
        <f t="shared" si="78"/>
        <v>0</v>
      </c>
      <c r="I29" s="55">
        <f t="shared" si="78"/>
        <v>0</v>
      </c>
      <c r="J29" s="55">
        <f t="shared" si="78"/>
        <v>0</v>
      </c>
      <c r="K29" s="55">
        <f t="shared" si="78"/>
        <v>0</v>
      </c>
      <c r="L29" s="55">
        <f t="shared" si="78"/>
        <v>0</v>
      </c>
      <c r="M29" s="55">
        <f t="shared" si="78"/>
        <v>0</v>
      </c>
      <c r="N29" s="55">
        <f t="shared" si="78"/>
        <v>0</v>
      </c>
      <c r="O29" s="55">
        <f t="shared" si="78"/>
        <v>0</v>
      </c>
      <c r="P29" s="55">
        <f t="shared" si="78"/>
        <v>0</v>
      </c>
      <c r="Q29" s="55">
        <f t="shared" si="78"/>
        <v>0</v>
      </c>
      <c r="R29" s="55">
        <f t="shared" si="78"/>
        <v>0</v>
      </c>
      <c r="S29" s="55">
        <f t="shared" si="78"/>
        <v>0</v>
      </c>
      <c r="T29" s="55">
        <f t="shared" si="78"/>
        <v>0</v>
      </c>
      <c r="U29" s="55">
        <f t="shared" si="78"/>
        <v>0</v>
      </c>
      <c r="V29" s="55">
        <f t="shared" si="78"/>
        <v>0</v>
      </c>
      <c r="W29" s="55">
        <f t="shared" si="78"/>
        <v>0</v>
      </c>
      <c r="X29" s="55">
        <f t="shared" si="78"/>
        <v>0</v>
      </c>
      <c r="Y29" s="55">
        <f t="shared" si="78"/>
        <v>0</v>
      </c>
      <c r="Z29" s="55">
        <f t="shared" si="78"/>
        <v>0</v>
      </c>
      <c r="AA29" s="55">
        <f t="shared" si="78"/>
        <v>0</v>
      </c>
      <c r="AB29" s="55">
        <f t="shared" si="78"/>
        <v>0</v>
      </c>
      <c r="AC29" s="55">
        <f t="shared" si="78"/>
        <v>0</v>
      </c>
      <c r="AD29" s="55">
        <f t="shared" si="78"/>
        <v>0</v>
      </c>
      <c r="AE29" s="55">
        <f t="shared" si="78"/>
        <v>0</v>
      </c>
      <c r="AF29" s="55">
        <f t="shared" si="78"/>
        <v>0</v>
      </c>
      <c r="AG29" s="55">
        <f t="shared" si="78"/>
        <v>0</v>
      </c>
      <c r="AH29" s="55">
        <f t="shared" si="78"/>
        <v>0</v>
      </c>
      <c r="AI29" s="55">
        <f t="shared" si="78"/>
        <v>0</v>
      </c>
      <c r="AJ29" s="55">
        <f t="shared" ref="AJ29:BL29" si="79">IF(AJ4=Purch_Date,Loan_Amount,0)</f>
        <v>0</v>
      </c>
      <c r="AK29" s="55">
        <f t="shared" si="79"/>
        <v>0</v>
      </c>
      <c r="AL29" s="55">
        <f t="shared" si="79"/>
        <v>0</v>
      </c>
      <c r="AM29" s="55">
        <f t="shared" si="79"/>
        <v>0</v>
      </c>
      <c r="AN29" s="55">
        <f t="shared" si="79"/>
        <v>0</v>
      </c>
      <c r="AO29" s="55">
        <f t="shared" si="79"/>
        <v>0</v>
      </c>
      <c r="AP29" s="55">
        <f t="shared" si="79"/>
        <v>0</v>
      </c>
      <c r="AQ29" s="55">
        <f t="shared" si="79"/>
        <v>0</v>
      </c>
      <c r="AR29" s="55">
        <f t="shared" si="79"/>
        <v>0</v>
      </c>
      <c r="AS29" s="55">
        <f t="shared" si="79"/>
        <v>0</v>
      </c>
      <c r="AT29" s="55">
        <f t="shared" si="79"/>
        <v>0</v>
      </c>
      <c r="AU29" s="55">
        <f t="shared" si="79"/>
        <v>0</v>
      </c>
      <c r="AV29" s="55">
        <f t="shared" si="79"/>
        <v>0</v>
      </c>
      <c r="AW29" s="55">
        <f t="shared" si="79"/>
        <v>0</v>
      </c>
      <c r="AX29" s="55">
        <f t="shared" si="79"/>
        <v>0</v>
      </c>
      <c r="AY29" s="55">
        <f t="shared" si="79"/>
        <v>0</v>
      </c>
      <c r="AZ29" s="55">
        <f t="shared" si="79"/>
        <v>0</v>
      </c>
      <c r="BA29" s="55">
        <f t="shared" si="79"/>
        <v>0</v>
      </c>
      <c r="BB29" s="55">
        <f t="shared" si="79"/>
        <v>0</v>
      </c>
      <c r="BC29" s="55">
        <f t="shared" si="79"/>
        <v>0</v>
      </c>
      <c r="BD29" s="55">
        <f t="shared" si="79"/>
        <v>0</v>
      </c>
      <c r="BE29" s="55">
        <f t="shared" si="79"/>
        <v>0</v>
      </c>
      <c r="BF29" s="55">
        <f t="shared" si="79"/>
        <v>0</v>
      </c>
      <c r="BG29" s="55">
        <f t="shared" si="79"/>
        <v>0</v>
      </c>
      <c r="BH29" s="55">
        <f t="shared" si="79"/>
        <v>0</v>
      </c>
      <c r="BI29" s="55">
        <f t="shared" si="79"/>
        <v>0</v>
      </c>
      <c r="BJ29" s="55">
        <f t="shared" si="79"/>
        <v>0</v>
      </c>
      <c r="BK29" s="55">
        <f t="shared" si="79"/>
        <v>0</v>
      </c>
      <c r="BL29" s="55">
        <f t="shared" si="79"/>
        <v>0</v>
      </c>
    </row>
    <row r="30" spans="2:64" x14ac:dyDescent="0.2">
      <c r="C30" s="36" t="s">
        <v>127</v>
      </c>
      <c r="D30" s="55"/>
      <c r="E30" s="55">
        <f>IF(AND(E$4&gt;Purch_Date,E$3&lt;='Inputs &amp; Summary'!$F$14,'Inputs &amp; Summary'!$L$18&lt;&gt;"Yes"),PV(Borrowing_Rate/12,(Term*12)-E$3,Payment),IF(AND(E$4&gt;Purch_Date,E$3&lt;='Inputs &amp; Summary'!$F$14),-Loan_Amount,0))</f>
        <v>-79874.097583086201</v>
      </c>
      <c r="F30" s="55">
        <f>IF(AND(F$4&gt;Purch_Date,F$3&lt;='Inputs &amp; Summary'!$F$14,'Inputs &amp; Summary'!$L$18&lt;&gt;"Yes"),PV(Borrowing_Rate/12,(Term*12)-F$3,Payment),IF(AND(F$4&gt;Purch_Date,F$3&lt;='Inputs &amp; Summary'!$F$14),-Loan_Amount,0))</f>
        <v>-79747.827950789782</v>
      </c>
      <c r="G30" s="55">
        <f>IF(AND(G$4&gt;Purch_Date,G$3&lt;='Inputs &amp; Summary'!$F$14,'Inputs &amp; Summary'!$L$18&lt;&gt;"Yes"),PV(Borrowing_Rate/12,(Term*12)-G$3,Payment),IF(AND(G$4&gt;Purch_Date,G$3&lt;='Inputs &amp; Summary'!$F$14),-Loan_Amount,0))</f>
        <v>-79621.190032065861</v>
      </c>
      <c r="H30" s="55">
        <f>IF(AND(H$4&gt;Purch_Date,H$3&lt;='Inputs &amp; Summary'!$F$14,'Inputs &amp; Summary'!$L$18&lt;&gt;"Yes"),PV(Borrowing_Rate/12,(Term*12)-H$3,Payment),IF(AND(H$4&gt;Purch_Date,H$3&lt;='Inputs &amp; Summary'!$F$14),-Loan_Amount,0))</f>
        <v>-79494.182752745677</v>
      </c>
      <c r="I30" s="55">
        <f>IF(AND(I$4&gt;Purch_Date,I$3&lt;='Inputs &amp; Summary'!$F$14,'Inputs &amp; Summary'!$L$18&lt;&gt;"Yes"),PV(Borrowing_Rate/12,(Term*12)-I$3,Payment),IF(AND(I$4&gt;Purch_Date,I$3&lt;='Inputs &amp; Summary'!$F$14),-Loan_Amount,0))</f>
        <v>-79366.805035527461</v>
      </c>
      <c r="J30" s="55">
        <f>IF(AND(J$4&gt;Purch_Date,J$3&lt;='Inputs &amp; Summary'!$F$14,'Inputs &amp; Summary'!$L$18&lt;&gt;"Yes"),PV(Borrowing_Rate/12,(Term*12)-J$3,Payment),IF(AND(J$4&gt;Purch_Date,J$3&lt;='Inputs &amp; Summary'!$F$14),-Loan_Amount,0))</f>
        <v>-79239.055799967347</v>
      </c>
      <c r="K30" s="55">
        <f>IF(AND(K$4&gt;Purch_Date,K$3&lt;='Inputs &amp; Summary'!$F$14,'Inputs &amp; Summary'!$L$18&lt;&gt;"Yes"),PV(Borrowing_Rate/12,(Term*12)-K$3,Payment),IF(AND(K$4&gt;Purch_Date,K$3&lt;='Inputs &amp; Summary'!$F$14),-Loan_Amount,0))</f>
        <v>-79110.933962470197</v>
      </c>
      <c r="L30" s="55">
        <f>IF(AND(L$4&gt;Purch_Date,L$3&lt;='Inputs &amp; Summary'!$F$14,'Inputs &amp; Summary'!$L$18&lt;&gt;"Yes"),PV(Borrowing_Rate/12,(Term*12)-L$3,Payment),IF(AND(L$4&gt;Purch_Date,L$3&lt;='Inputs &amp; Summary'!$F$14),-Loan_Amount,0))</f>
        <v>-78982.438436280339</v>
      </c>
      <c r="M30" s="55">
        <f>IF(AND(M$4&gt;Purch_Date,M$3&lt;='Inputs &amp; Summary'!$F$14,'Inputs &amp; Summary'!$L$18&lt;&gt;"Yes"),PV(Borrowing_Rate/12,(Term*12)-M$3,Payment),IF(AND(M$4&gt;Purch_Date,M$3&lt;='Inputs &amp; Summary'!$F$14),-Loan_Amount,0))</f>
        <v>-78853.56813147245</v>
      </c>
      <c r="N30" s="55">
        <f>IF(AND(N$4&gt;Purch_Date,N$3&lt;='Inputs &amp; Summary'!$F$14,'Inputs &amp; Summary'!$L$18&lt;&gt;"Yes"),PV(Borrowing_Rate/12,(Term*12)-N$3,Payment),IF(AND(N$4&gt;Purch_Date,N$3&lt;='Inputs &amp; Summary'!$F$14),-Loan_Amount,0))</f>
        <v>-78724.321954942177</v>
      </c>
      <c r="O30" s="55">
        <f>IF(AND(O$4&gt;Purch_Date,O$3&lt;='Inputs &amp; Summary'!$F$14,'Inputs &amp; Summary'!$L$18&lt;&gt;"Yes"),PV(Borrowing_Rate/12,(Term*12)-O$3,Payment),IF(AND(O$4&gt;Purch_Date,O$3&lt;='Inputs &amp; Summary'!$F$14),-Loan_Amount,0))</f>
        <v>-78594.698810397036</v>
      </c>
      <c r="P30" s="55">
        <f>IF(AND(P$4&gt;Purch_Date,P$3&lt;='Inputs &amp; Summary'!$F$14,'Inputs &amp; Summary'!$L$18&lt;&gt;"Yes"),PV(Borrowing_Rate/12,(Term*12)-P$3,Payment),IF(AND(P$4&gt;Purch_Date,P$3&lt;='Inputs &amp; Summary'!$F$14),-Loan_Amount,0))</f>
        <v>-78464.69759834696</v>
      </c>
      <c r="Q30" s="55">
        <f>IF(AND(Q$4&gt;Purch_Date,Q$3&lt;='Inputs &amp; Summary'!$F$14,'Inputs &amp; Summary'!$L$18&lt;&gt;"Yes"),PV(Borrowing_Rate/12,(Term*12)-Q$3,Payment),IF(AND(Q$4&gt;Purch_Date,Q$3&lt;='Inputs &amp; Summary'!$F$14),-Loan_Amount,0))</f>
        <v>-78334.317216095093</v>
      </c>
      <c r="R30" s="55">
        <f>IF(AND(R$4&gt;Purch_Date,R$3&lt;='Inputs &amp; Summary'!$F$14,'Inputs &amp; Summary'!$L$18&lt;&gt;"Yes"),PV(Borrowing_Rate/12,(Term*12)-R$3,Payment),IF(AND(R$4&gt;Purch_Date,R$3&lt;='Inputs &amp; Summary'!$F$14),-Loan_Amount,0))</f>
        <v>-78203.556557728298</v>
      </c>
      <c r="S30" s="55">
        <f>IF(AND(S$4&gt;Purch_Date,S$3&lt;='Inputs &amp; Summary'!$F$14,'Inputs &amp; Summary'!$L$18&lt;&gt;"Yes"),PV(Borrowing_Rate/12,(Term*12)-S$3,Payment),IF(AND(S$4&gt;Purch_Date,S$3&lt;='Inputs &amp; Summary'!$F$14),-Loan_Amount,0))</f>
        <v>-78072.414514107935</v>
      </c>
      <c r="T30" s="55">
        <f>IF(AND(T$4&gt;Purch_Date,T$3&lt;='Inputs &amp; Summary'!$F$14,'Inputs &amp; Summary'!$L$18&lt;&gt;"Yes"),PV(Borrowing_Rate/12,(Term*12)-T$3,Payment),IF(AND(T$4&gt;Purch_Date,T$3&lt;='Inputs &amp; Summary'!$F$14),-Loan_Amount,0))</f>
        <v>-77940.889972860372</v>
      </c>
      <c r="U30" s="55">
        <f>IF(AND(U$4&gt;Purch_Date,U$3&lt;='Inputs &amp; Summary'!$F$14,'Inputs &amp; Summary'!$L$18&lt;&gt;"Yes"),PV(Borrowing_Rate/12,(Term*12)-U$3,Payment),IF(AND(U$4&gt;Purch_Date,U$3&lt;='Inputs &amp; Summary'!$F$14),-Loan_Amount,0))</f>
        <v>-77808.98181836748</v>
      </c>
      <c r="V30" s="55">
        <f>IF(AND(V$4&gt;Purch_Date,V$3&lt;='Inputs &amp; Summary'!$F$14,'Inputs &amp; Summary'!$L$18&lt;&gt;"Yes"),PV(Borrowing_Rate/12,(Term*12)-V$3,Payment),IF(AND(V$4&gt;Purch_Date,V$3&lt;='Inputs &amp; Summary'!$F$14),-Loan_Amount,0))</f>
        <v>-77676.688931757308</v>
      </c>
      <c r="W30" s="55">
        <f>IF(AND(W$4&gt;Purch_Date,W$3&lt;='Inputs &amp; Summary'!$F$14,'Inputs &amp; Summary'!$L$18&lt;&gt;"Yes"),PV(Borrowing_Rate/12,(Term*12)-W$3,Payment),IF(AND(W$4&gt;Purch_Date,W$3&lt;='Inputs &amp; Summary'!$F$14),-Loan_Amount,0))</f>
        <v>-77544.010190894565</v>
      </c>
      <c r="X30" s="55">
        <f>IF(AND(X$4&gt;Purch_Date,X$3&lt;='Inputs &amp; Summary'!$F$14,'Inputs &amp; Summary'!$L$18&lt;&gt;"Yes"),PV(Borrowing_Rate/12,(Term*12)-X$3,Payment),IF(AND(X$4&gt;Purch_Date,X$3&lt;='Inputs &amp; Summary'!$F$14),-Loan_Amount,0))</f>
        <v>-77410.944470370945</v>
      </c>
      <c r="Y30" s="55">
        <f>IF(AND(Y$4&gt;Purch_Date,Y$3&lt;='Inputs &amp; Summary'!$F$14,'Inputs &amp; Summary'!$L$18&lt;&gt;"Yes"),PV(Borrowing_Rate/12,(Term*12)-Y$3,Payment),IF(AND(Y$4&gt;Purch_Date,Y$3&lt;='Inputs &amp; Summary'!$F$14),-Loan_Amount,0))</f>
        <v>-77277.49064149581</v>
      </c>
      <c r="Z30" s="55">
        <f>IF(AND(Z$4&gt;Purch_Date,Z$3&lt;='Inputs &amp; Summary'!$F$14,'Inputs &amp; Summary'!$L$18&lt;&gt;"Yes"),PV(Borrowing_Rate/12,(Term*12)-Z$3,Payment),IF(AND(Z$4&gt;Purch_Date,Z$3&lt;='Inputs &amp; Summary'!$F$14),-Loan_Amount,0))</f>
        <v>-77143.647572286427</v>
      </c>
      <c r="AA30" s="55">
        <f>IF(AND(AA$4&gt;Purch_Date,AA$3&lt;='Inputs &amp; Summary'!$F$14,'Inputs &amp; Summary'!$L$18&lt;&gt;"Yes"),PV(Borrowing_Rate/12,(Term*12)-AA$3,Payment),IF(AND(AA$4&gt;Purch_Date,AA$3&lt;='Inputs &amp; Summary'!$F$14),-Loan_Amount,0))</f>
        <v>-77009.414127458542</v>
      </c>
      <c r="AB30" s="55">
        <f>IF(AND(AB$4&gt;Purch_Date,AB$3&lt;='Inputs &amp; Summary'!$F$14,'Inputs &amp; Summary'!$L$18&lt;&gt;"Yes"),PV(Borrowing_Rate/12,(Term*12)-AB$3,Payment),IF(AND(AB$4&gt;Purch_Date,AB$3&lt;='Inputs &amp; Summary'!$F$14),-Loan_Amount,0))</f>
        <v>-76874.789168416566</v>
      </c>
      <c r="AC30" s="55">
        <f>IF(AND(AC$4&gt;Purch_Date,AC$3&lt;='Inputs &amp; Summary'!$F$14,'Inputs &amp; Summary'!$L$18&lt;&gt;"Yes"),PV(Borrowing_Rate/12,(Term*12)-AC$3,Payment),IF(AND(AC$4&gt;Purch_Date,AC$3&lt;='Inputs &amp; Summary'!$F$14),-Loan_Amount,0))</f>
        <v>-76739.771553244078</v>
      </c>
      <c r="AD30" s="55">
        <f>IF(AND(AD$4&gt;Purch_Date,AD$3&lt;='Inputs &amp; Summary'!$F$14,'Inputs &amp; Summary'!$L$18&lt;&gt;"Yes"),PV(Borrowing_Rate/12,(Term*12)-AD$3,Payment),IF(AND(AD$4&gt;Purch_Date,AD$3&lt;='Inputs &amp; Summary'!$F$14),-Loan_Amount,0))</f>
        <v>-76604.360136693969</v>
      </c>
      <c r="AE30" s="55">
        <f>IF(AND(AE$4&gt;Purch_Date,AE$3&lt;='Inputs &amp; Summary'!$F$14,'Inputs &amp; Summary'!$L$18&lt;&gt;"Yes"),PV(Borrowing_Rate/12,(Term*12)-AE$3,Payment),IF(AND(AE$4&gt;Purch_Date,AE$3&lt;='Inputs &amp; Summary'!$F$14),-Loan_Amount,0))</f>
        <v>-76468.553770178929</v>
      </c>
      <c r="AF30" s="55">
        <f>IF(AND(AF$4&gt;Purch_Date,AF$3&lt;='Inputs &amp; Summary'!$F$14,'Inputs &amp; Summary'!$L$18&lt;&gt;"Yes"),PV(Borrowing_Rate/12,(Term*12)-AF$3,Payment),IF(AND(AF$4&gt;Purch_Date,AF$3&lt;='Inputs &amp; Summary'!$F$14),-Loan_Amount,0))</f>
        <v>-76332.351301761562</v>
      </c>
      <c r="AG30" s="55">
        <f>IF(AND(AG$4&gt;Purch_Date,AG$3&lt;='Inputs &amp; Summary'!$F$14,'Inputs &amp; Summary'!$L$18&lt;&gt;"Yes"),PV(Borrowing_Rate/12,(Term*12)-AG$3,Payment),IF(AND(AG$4&gt;Purch_Date,AG$3&lt;='Inputs &amp; Summary'!$F$14),-Loan_Amount,0))</f>
        <v>-76195.751576144656</v>
      </c>
      <c r="AH30" s="55">
        <f>IF(AND(AH$4&gt;Purch_Date,AH$3&lt;='Inputs &amp; Summary'!$F$14,'Inputs &amp; Summary'!$L$18&lt;&gt;"Yes"),PV(Borrowing_Rate/12,(Term*12)-AH$3,Payment),IF(AND(AH$4&gt;Purch_Date,AH$3&lt;='Inputs &amp; Summary'!$F$14),-Loan_Amount,0))</f>
        <v>-76058.753434661325</v>
      </c>
      <c r="AI30" s="55">
        <f>IF(AND(AI$4&gt;Purch_Date,AI$3&lt;='Inputs &amp; Summary'!$F$14,'Inputs &amp; Summary'!$L$18&lt;&gt;"Yes"),PV(Borrowing_Rate/12,(Term*12)-AI$3,Payment),IF(AND(AI$4&gt;Purch_Date,AI$3&lt;='Inputs &amp; Summary'!$F$14),-Loan_Amount,0))</f>
        <v>-75921.355715265381</v>
      </c>
      <c r="AJ30" s="55">
        <f>IF(AND(AJ$4&gt;Purch_Date,AJ$3&lt;='Inputs &amp; Summary'!$F$14,'Inputs &amp; Summary'!$L$18&lt;&gt;"Yes"),PV(Borrowing_Rate/12,(Term*12)-AJ$3,Payment),IF(AND(AJ$4&gt;Purch_Date,AJ$3&lt;='Inputs &amp; Summary'!$F$14),-Loan_Amount,0))</f>
        <v>-75783.557252521176</v>
      </c>
      <c r="AK30" s="55">
        <f>IF(AND(AK$4&gt;Purch_Date,AK$3&lt;='Inputs &amp; Summary'!$F$14,'Inputs &amp; Summary'!$L$18&lt;&gt;"Yes"),PV(Borrowing_Rate/12,(Term*12)-AK$3,Payment),IF(AND(AK$4&gt;Purch_Date,AK$3&lt;='Inputs &amp; Summary'!$F$14),-Loan_Amount,0))</f>
        <v>-75645.356877593964</v>
      </c>
      <c r="AL30" s="55">
        <f>IF(AND(AL$4&gt;Purch_Date,AL$3&lt;='Inputs &amp; Summary'!$F$14,'Inputs &amp; Summary'!$L$18&lt;&gt;"Yes"),PV(Borrowing_Rate/12,(Term*12)-AL$3,Payment),IF(AND(AL$4&gt;Purch_Date,AL$3&lt;='Inputs &amp; Summary'!$F$14),-Loan_Amount,0))</f>
        <v>-75506.753418239867</v>
      </c>
      <c r="AM30" s="55">
        <f>IF(AND(AM$4&gt;Purch_Date,AM$3&lt;='Inputs &amp; Summary'!$F$14,'Inputs &amp; Summary'!$L$18&lt;&gt;"Yes"),PV(Borrowing_Rate/12,(Term*12)-AM$3,Payment),IF(AND(AM$4&gt;Purch_Date,AM$3&lt;='Inputs &amp; Summary'!$F$14),-Loan_Amount,0))</f>
        <v>-75367.745698796018</v>
      </c>
      <c r="AN30" s="55">
        <f>IF(AND(AN$4&gt;Purch_Date,AN$3&lt;='Inputs &amp; Summary'!$F$14,'Inputs &amp; Summary'!$L$18&lt;&gt;"Yes"),PV(Borrowing_Rate/12,(Term*12)-AN$3,Payment),IF(AND(AN$4&gt;Purch_Date,AN$3&lt;='Inputs &amp; Summary'!$F$14),-Loan_Amount,0))</f>
        <v>-75228.33254017045</v>
      </c>
      <c r="AO30" s="55">
        <f>IF(AND(AO$4&gt;Purch_Date,AO$3&lt;='Inputs &amp; Summary'!$F$14,'Inputs &amp; Summary'!$L$18&lt;&gt;"Yes"),PV(Borrowing_Rate/12,(Term*12)-AO$3,Payment),IF(AND(AO$4&gt;Purch_Date,AO$3&lt;='Inputs &amp; Summary'!$F$14),-Loan_Amount,0))</f>
        <v>0</v>
      </c>
      <c r="AP30" s="55">
        <f>IF(AND(AP$4&gt;Purch_Date,AP$3&lt;='Inputs &amp; Summary'!$F$14,'Inputs &amp; Summary'!$L$18&lt;&gt;"Yes"),PV(Borrowing_Rate/12,(Term*12)-AP$3,Payment),IF(AND(AP$4&gt;Purch_Date,AP$3&lt;='Inputs &amp; Summary'!$F$14),-Loan_Amount,0))</f>
        <v>0</v>
      </c>
      <c r="AQ30" s="55">
        <f>IF(AND(AQ$4&gt;Purch_Date,AQ$3&lt;='Inputs &amp; Summary'!$F$14,'Inputs &amp; Summary'!$L$18&lt;&gt;"Yes"),PV(Borrowing_Rate/12,(Term*12)-AQ$3,Payment),IF(AND(AQ$4&gt;Purch_Date,AQ$3&lt;='Inputs &amp; Summary'!$F$14),-Loan_Amount,0))</f>
        <v>0</v>
      </c>
      <c r="AR30" s="55">
        <f>IF(AND(AR$4&gt;Purch_Date,AR$3&lt;='Inputs &amp; Summary'!$F$14,'Inputs &amp; Summary'!$L$18&lt;&gt;"Yes"),PV(Borrowing_Rate/12,(Term*12)-AR$3,Payment),IF(AND(AR$4&gt;Purch_Date,AR$3&lt;='Inputs &amp; Summary'!$F$14),-Loan_Amount,0))</f>
        <v>0</v>
      </c>
      <c r="AS30" s="55">
        <f>IF(AND(AS$4&gt;Purch_Date,AS$3&lt;='Inputs &amp; Summary'!$F$14,'Inputs &amp; Summary'!$L$18&lt;&gt;"Yes"),PV(Borrowing_Rate/12,(Term*12)-AS$3,Payment),IF(AND(AS$4&gt;Purch_Date,AS$3&lt;='Inputs &amp; Summary'!$F$14),-Loan_Amount,0))</f>
        <v>0</v>
      </c>
      <c r="AT30" s="55">
        <f>IF(AND(AT$4&gt;Purch_Date,AT$3&lt;='Inputs &amp; Summary'!$F$14,'Inputs &amp; Summary'!$L$18&lt;&gt;"Yes"),PV(Borrowing_Rate/12,(Term*12)-AT$3,Payment),IF(AND(AT$4&gt;Purch_Date,AT$3&lt;='Inputs &amp; Summary'!$F$14),-Loan_Amount,0))</f>
        <v>0</v>
      </c>
      <c r="AU30" s="55">
        <f>IF(AND(AU$4&gt;Purch_Date,AU$3&lt;='Inputs &amp; Summary'!$F$14,'Inputs &amp; Summary'!$L$18&lt;&gt;"Yes"),PV(Borrowing_Rate/12,(Term*12)-AU$3,Payment),IF(AND(AU$4&gt;Purch_Date,AU$3&lt;='Inputs &amp; Summary'!$F$14),-Loan_Amount,0))</f>
        <v>0</v>
      </c>
      <c r="AV30" s="55">
        <f>IF(AND(AV$4&gt;Purch_Date,AV$3&lt;='Inputs &amp; Summary'!$F$14,'Inputs &amp; Summary'!$L$18&lt;&gt;"Yes"),PV(Borrowing_Rate/12,(Term*12)-AV$3,Payment),IF(AND(AV$4&gt;Purch_Date,AV$3&lt;='Inputs &amp; Summary'!$F$14),-Loan_Amount,0))</f>
        <v>0</v>
      </c>
      <c r="AW30" s="55">
        <f>IF(AND(AW$4&gt;Purch_Date,AW$3&lt;='Inputs &amp; Summary'!$F$14,'Inputs &amp; Summary'!$L$18&lt;&gt;"Yes"),PV(Borrowing_Rate/12,(Term*12)-AW$3,Payment),IF(AND(AW$4&gt;Purch_Date,AW$3&lt;='Inputs &amp; Summary'!$F$14),-Loan_Amount,0))</f>
        <v>0</v>
      </c>
      <c r="AX30" s="55">
        <f>IF(AND(AX$4&gt;Purch_Date,AX$3&lt;='Inputs &amp; Summary'!$F$14,'Inputs &amp; Summary'!$L$18&lt;&gt;"Yes"),PV(Borrowing_Rate/12,(Term*12)-AX$3,Payment),IF(AND(AX$4&gt;Purch_Date,AX$3&lt;='Inputs &amp; Summary'!$F$14),-Loan_Amount,0))</f>
        <v>0</v>
      </c>
      <c r="AY30" s="55">
        <f>IF(AND(AY$4&gt;Purch_Date,AY$3&lt;='Inputs &amp; Summary'!$F$14,'Inputs &amp; Summary'!$L$18&lt;&gt;"Yes"),PV(Borrowing_Rate/12,(Term*12)-AY$3,Payment),IF(AND(AY$4&gt;Purch_Date,AY$3&lt;='Inputs &amp; Summary'!$F$14),-Loan_Amount,0))</f>
        <v>0</v>
      </c>
      <c r="AZ30" s="55">
        <f>IF(AND(AZ$4&gt;Purch_Date,AZ$3&lt;='Inputs &amp; Summary'!$F$14,'Inputs &amp; Summary'!$L$18&lt;&gt;"Yes"),PV(Borrowing_Rate/12,(Term*12)-AZ$3,Payment),IF(AND(AZ$4&gt;Purch_Date,AZ$3&lt;='Inputs &amp; Summary'!$F$14),-Loan_Amount,0))</f>
        <v>0</v>
      </c>
      <c r="BA30" s="55">
        <f>IF(AND(BA$4&gt;Purch_Date,BA$3&lt;='Inputs &amp; Summary'!$F$14,'Inputs &amp; Summary'!$L$18&lt;&gt;"Yes"),PV(Borrowing_Rate/12,(Term*12)-BA$3,Payment),IF(AND(BA$4&gt;Purch_Date,BA$3&lt;='Inputs &amp; Summary'!$F$14),-Loan_Amount,0))</f>
        <v>0</v>
      </c>
      <c r="BB30" s="55">
        <f>IF(AND(BB$4&gt;Purch_Date,BB$3&lt;='Inputs &amp; Summary'!$F$14,'Inputs &amp; Summary'!$L$18&lt;&gt;"Yes"),PV(Borrowing_Rate/12,(Term*12)-BB$3,Payment),IF(AND(BB$4&gt;Purch_Date,BB$3&lt;='Inputs &amp; Summary'!$F$14),-Loan_Amount,0))</f>
        <v>0</v>
      </c>
      <c r="BC30" s="55">
        <f>IF(AND(BC$4&gt;Purch_Date,BC$3&lt;='Inputs &amp; Summary'!$F$14,'Inputs &amp; Summary'!$L$18&lt;&gt;"Yes"),PV(Borrowing_Rate/12,(Term*12)-BC$3,Payment),IF(AND(BC$4&gt;Purch_Date,BC$3&lt;='Inputs &amp; Summary'!$F$14),-Loan_Amount,0))</f>
        <v>0</v>
      </c>
      <c r="BD30" s="55">
        <f>IF(AND(BD$4&gt;Purch_Date,BD$3&lt;='Inputs &amp; Summary'!$F$14,'Inputs &amp; Summary'!$L$18&lt;&gt;"Yes"),PV(Borrowing_Rate/12,(Term*12)-BD$3,Payment),IF(AND(BD$4&gt;Purch_Date,BD$3&lt;='Inputs &amp; Summary'!$F$14),-Loan_Amount,0))</f>
        <v>0</v>
      </c>
      <c r="BE30" s="55">
        <f>IF(AND(BE$4&gt;Purch_Date,BE$3&lt;='Inputs &amp; Summary'!$F$14,'Inputs &amp; Summary'!$L$18&lt;&gt;"Yes"),PV(Borrowing_Rate/12,(Term*12)-BE$3,Payment),IF(AND(BE$4&gt;Purch_Date,BE$3&lt;='Inputs &amp; Summary'!$F$14),-Loan_Amount,0))</f>
        <v>0</v>
      </c>
      <c r="BF30" s="55">
        <f>IF(AND(BF$4&gt;Purch_Date,BF$3&lt;='Inputs &amp; Summary'!$F$14,'Inputs &amp; Summary'!$L$18&lt;&gt;"Yes"),PV(Borrowing_Rate/12,(Term*12)-BF$3,Payment),IF(AND(BF$4&gt;Purch_Date,BF$3&lt;='Inputs &amp; Summary'!$F$14),-Loan_Amount,0))</f>
        <v>0</v>
      </c>
      <c r="BG30" s="55">
        <f>IF(AND(BG$4&gt;Purch_Date,BG$3&lt;='Inputs &amp; Summary'!$F$14,'Inputs &amp; Summary'!$L$18&lt;&gt;"Yes"),PV(Borrowing_Rate/12,(Term*12)-BG$3,Payment),IF(AND(BG$4&gt;Purch_Date,BG$3&lt;='Inputs &amp; Summary'!$F$14),-Loan_Amount,0))</f>
        <v>0</v>
      </c>
      <c r="BH30" s="55">
        <f>IF(AND(BH$4&gt;Purch_Date,BH$3&lt;='Inputs &amp; Summary'!$F$14,'Inputs &amp; Summary'!$L$18&lt;&gt;"Yes"),PV(Borrowing_Rate/12,(Term*12)-BH$3,Payment),IF(AND(BH$4&gt;Purch_Date,BH$3&lt;='Inputs &amp; Summary'!$F$14),-Loan_Amount,0))</f>
        <v>0</v>
      </c>
      <c r="BI30" s="55">
        <f>IF(AND(BI$4&gt;Purch_Date,BI$3&lt;='Inputs &amp; Summary'!$F$14,'Inputs &amp; Summary'!$L$18&lt;&gt;"Yes"),PV(Borrowing_Rate/12,(Term*12)-BI$3,Payment),IF(AND(BI$4&gt;Purch_Date,BI$3&lt;='Inputs &amp; Summary'!$F$14),-Loan_Amount,0))</f>
        <v>0</v>
      </c>
      <c r="BJ30" s="55">
        <f>IF(AND(BJ$4&gt;Purch_Date,BJ$3&lt;='Inputs &amp; Summary'!$F$14,'Inputs &amp; Summary'!$L$18&lt;&gt;"Yes"),PV(Borrowing_Rate/12,(Term*12)-BJ$3,Payment),IF(AND(BJ$4&gt;Purch_Date,BJ$3&lt;='Inputs &amp; Summary'!$F$14),-Loan_Amount,0))</f>
        <v>0</v>
      </c>
      <c r="BK30" s="55">
        <f>IF(AND(BK$4&gt;Purch_Date,BK$3&lt;='Inputs &amp; Summary'!$F$14,'Inputs &amp; Summary'!$L$18&lt;&gt;"Yes"),PV(Borrowing_Rate/12,(Term*12)-BK$3,Payment),IF(AND(BK$4&gt;Purch_Date,BK$3&lt;='Inputs &amp; Summary'!$F$14),-Loan_Amount,0))</f>
        <v>0</v>
      </c>
      <c r="BL30" s="55">
        <f>IF(AND(BL$4&gt;Purch_Date,BL$3&lt;='Inputs &amp; Summary'!$F$14,'Inputs &amp; Summary'!$L$18&lt;&gt;"Yes"),PV(Borrowing_Rate/12,(Term*12)-BL$3,Payment),IF(AND(BL$4&gt;Purch_Date,BL$3&lt;='Inputs &amp; Summary'!$F$14),-Loan_Amount,0))</f>
        <v>0</v>
      </c>
    </row>
    <row r="31" spans="2:64" x14ac:dyDescent="0.2">
      <c r="C31" s="36" t="s">
        <v>93</v>
      </c>
      <c r="E31" s="55">
        <f t="shared" ref="E31:AJ31" si="80">IF(E30&lt;0,-Payment,0)</f>
        <v>-359.23575024705957</v>
      </c>
      <c r="F31" s="55">
        <f t="shared" si="80"/>
        <v>-359.23575024705957</v>
      </c>
      <c r="G31" s="55">
        <f t="shared" si="80"/>
        <v>-359.23575024705957</v>
      </c>
      <c r="H31" s="55">
        <f t="shared" si="80"/>
        <v>-359.23575024705957</v>
      </c>
      <c r="I31" s="55">
        <f t="shared" si="80"/>
        <v>-359.23575024705957</v>
      </c>
      <c r="J31" s="55">
        <f t="shared" si="80"/>
        <v>-359.23575024705957</v>
      </c>
      <c r="K31" s="55">
        <f t="shared" si="80"/>
        <v>-359.23575024705957</v>
      </c>
      <c r="L31" s="55">
        <f t="shared" si="80"/>
        <v>-359.23575024705957</v>
      </c>
      <c r="M31" s="55">
        <f t="shared" si="80"/>
        <v>-359.23575024705957</v>
      </c>
      <c r="N31" s="55">
        <f t="shared" si="80"/>
        <v>-359.23575024705957</v>
      </c>
      <c r="O31" s="55">
        <f t="shared" si="80"/>
        <v>-359.23575024705957</v>
      </c>
      <c r="P31" s="55">
        <f t="shared" si="80"/>
        <v>-359.23575024705957</v>
      </c>
      <c r="Q31" s="55">
        <f t="shared" si="80"/>
        <v>-359.23575024705957</v>
      </c>
      <c r="R31" s="55">
        <f t="shared" si="80"/>
        <v>-359.23575024705957</v>
      </c>
      <c r="S31" s="55">
        <f t="shared" si="80"/>
        <v>-359.23575024705957</v>
      </c>
      <c r="T31" s="55">
        <f t="shared" si="80"/>
        <v>-359.23575024705957</v>
      </c>
      <c r="U31" s="55">
        <f t="shared" si="80"/>
        <v>-359.23575024705957</v>
      </c>
      <c r="V31" s="55">
        <f t="shared" si="80"/>
        <v>-359.23575024705957</v>
      </c>
      <c r="W31" s="55">
        <f t="shared" si="80"/>
        <v>-359.23575024705957</v>
      </c>
      <c r="X31" s="55">
        <f t="shared" si="80"/>
        <v>-359.23575024705957</v>
      </c>
      <c r="Y31" s="55">
        <f t="shared" si="80"/>
        <v>-359.23575024705957</v>
      </c>
      <c r="Z31" s="55">
        <f t="shared" si="80"/>
        <v>-359.23575024705957</v>
      </c>
      <c r="AA31" s="55">
        <f t="shared" si="80"/>
        <v>-359.23575024705957</v>
      </c>
      <c r="AB31" s="55">
        <f t="shared" si="80"/>
        <v>-359.23575024705957</v>
      </c>
      <c r="AC31" s="55">
        <f t="shared" si="80"/>
        <v>-359.23575024705957</v>
      </c>
      <c r="AD31" s="55">
        <f t="shared" si="80"/>
        <v>-359.23575024705957</v>
      </c>
      <c r="AE31" s="55">
        <f t="shared" si="80"/>
        <v>-359.23575024705957</v>
      </c>
      <c r="AF31" s="55">
        <f t="shared" si="80"/>
        <v>-359.23575024705957</v>
      </c>
      <c r="AG31" s="55">
        <f t="shared" si="80"/>
        <v>-359.23575024705957</v>
      </c>
      <c r="AH31" s="55">
        <f t="shared" si="80"/>
        <v>-359.23575024705957</v>
      </c>
      <c r="AI31" s="55">
        <f t="shared" si="80"/>
        <v>-359.23575024705957</v>
      </c>
      <c r="AJ31" s="55">
        <f t="shared" si="80"/>
        <v>-359.23575024705957</v>
      </c>
      <c r="AK31" s="55">
        <f t="shared" ref="AK31:BL31" si="81">IF(AK30&lt;0,-Payment,0)</f>
        <v>-359.23575024705957</v>
      </c>
      <c r="AL31" s="55">
        <f t="shared" si="81"/>
        <v>-359.23575024705957</v>
      </c>
      <c r="AM31" s="55">
        <f t="shared" si="81"/>
        <v>-359.23575024705957</v>
      </c>
      <c r="AN31" s="55">
        <f t="shared" si="81"/>
        <v>-359.23575024705957</v>
      </c>
      <c r="AO31" s="55">
        <f t="shared" si="81"/>
        <v>0</v>
      </c>
      <c r="AP31" s="55">
        <f t="shared" si="81"/>
        <v>0</v>
      </c>
      <c r="AQ31" s="55">
        <f t="shared" si="81"/>
        <v>0</v>
      </c>
      <c r="AR31" s="55">
        <f t="shared" si="81"/>
        <v>0</v>
      </c>
      <c r="AS31" s="55">
        <f t="shared" si="81"/>
        <v>0</v>
      </c>
      <c r="AT31" s="55">
        <f t="shared" si="81"/>
        <v>0</v>
      </c>
      <c r="AU31" s="55">
        <f t="shared" si="81"/>
        <v>0</v>
      </c>
      <c r="AV31" s="55">
        <f t="shared" si="81"/>
        <v>0</v>
      </c>
      <c r="AW31" s="55">
        <f t="shared" si="81"/>
        <v>0</v>
      </c>
      <c r="AX31" s="55">
        <f t="shared" si="81"/>
        <v>0</v>
      </c>
      <c r="AY31" s="55">
        <f t="shared" si="81"/>
        <v>0</v>
      </c>
      <c r="AZ31" s="55">
        <f t="shared" si="81"/>
        <v>0</v>
      </c>
      <c r="BA31" s="55">
        <f t="shared" si="81"/>
        <v>0</v>
      </c>
      <c r="BB31" s="55">
        <f t="shared" si="81"/>
        <v>0</v>
      </c>
      <c r="BC31" s="55">
        <f t="shared" si="81"/>
        <v>0</v>
      </c>
      <c r="BD31" s="55">
        <f t="shared" si="81"/>
        <v>0</v>
      </c>
      <c r="BE31" s="55">
        <f t="shared" si="81"/>
        <v>0</v>
      </c>
      <c r="BF31" s="55">
        <f t="shared" si="81"/>
        <v>0</v>
      </c>
      <c r="BG31" s="55">
        <f t="shared" si="81"/>
        <v>0</v>
      </c>
      <c r="BH31" s="55">
        <f t="shared" si="81"/>
        <v>0</v>
      </c>
      <c r="BI31" s="55">
        <f t="shared" si="81"/>
        <v>0</v>
      </c>
      <c r="BJ31" s="55">
        <f t="shared" si="81"/>
        <v>0</v>
      </c>
      <c r="BK31" s="55">
        <f t="shared" si="81"/>
        <v>0</v>
      </c>
      <c r="BL31" s="55">
        <f t="shared" si="81"/>
        <v>0</v>
      </c>
    </row>
    <row r="32" spans="2:64" x14ac:dyDescent="0.2">
      <c r="C32" s="39" t="s">
        <v>94</v>
      </c>
      <c r="D32" s="55">
        <f>SUM(D31,D26)</f>
        <v>0</v>
      </c>
      <c r="E32" s="57">
        <f>SUM(E31,E26)</f>
        <v>-12934.23575024706</v>
      </c>
      <c r="F32" s="57">
        <f t="shared" ref="F32:BL32" si="82">SUM(F31,F26)</f>
        <v>-12934.23575024706</v>
      </c>
      <c r="G32" s="57">
        <f t="shared" si="82"/>
        <v>350.19849632828294</v>
      </c>
      <c r="H32" s="57">
        <f t="shared" si="82"/>
        <v>350.19849632828294</v>
      </c>
      <c r="I32" s="57">
        <f t="shared" si="82"/>
        <v>350.19849632828294</v>
      </c>
      <c r="J32" s="57">
        <f t="shared" si="82"/>
        <v>350.19849632828294</v>
      </c>
      <c r="K32" s="57">
        <f t="shared" si="82"/>
        <v>350.19849632828294</v>
      </c>
      <c r="L32" s="57">
        <f t="shared" si="82"/>
        <v>350.19849632828294</v>
      </c>
      <c r="M32" s="57">
        <f t="shared" si="82"/>
        <v>350.19849632828294</v>
      </c>
      <c r="N32" s="57">
        <f t="shared" si="82"/>
        <v>350.19849632828294</v>
      </c>
      <c r="O32" s="57">
        <f t="shared" si="82"/>
        <v>350.19849632828294</v>
      </c>
      <c r="P32" s="57">
        <f t="shared" si="82"/>
        <v>350.19849632828294</v>
      </c>
      <c r="Q32" s="57">
        <f t="shared" si="82"/>
        <v>372.89673057485828</v>
      </c>
      <c r="R32" s="57">
        <f t="shared" si="82"/>
        <v>372.89673057485828</v>
      </c>
      <c r="S32" s="57">
        <f t="shared" si="82"/>
        <v>372.89673057485828</v>
      </c>
      <c r="T32" s="57">
        <f t="shared" si="82"/>
        <v>372.89673057485828</v>
      </c>
      <c r="U32" s="57">
        <f t="shared" si="82"/>
        <v>372.89673057485828</v>
      </c>
      <c r="V32" s="57">
        <f t="shared" si="82"/>
        <v>372.89673057485828</v>
      </c>
      <c r="W32" s="57">
        <f t="shared" si="82"/>
        <v>372.89673057485828</v>
      </c>
      <c r="X32" s="57">
        <f t="shared" si="82"/>
        <v>372.89673057485828</v>
      </c>
      <c r="Y32" s="57">
        <f t="shared" si="82"/>
        <v>372.89673057485828</v>
      </c>
      <c r="Z32" s="57">
        <f t="shared" si="82"/>
        <v>372.89673057485828</v>
      </c>
      <c r="AA32" s="57">
        <f t="shared" si="82"/>
        <v>372.89673057485828</v>
      </c>
      <c r="AB32" s="57">
        <f t="shared" si="82"/>
        <v>372.89673057485828</v>
      </c>
      <c r="AC32" s="57">
        <f t="shared" si="82"/>
        <v>396.17630407759799</v>
      </c>
      <c r="AD32" s="57">
        <f t="shared" si="82"/>
        <v>396.17630407759799</v>
      </c>
      <c r="AE32" s="57">
        <f t="shared" si="82"/>
        <v>396.17630407759799</v>
      </c>
      <c r="AF32" s="57">
        <f t="shared" si="82"/>
        <v>396.17630407759799</v>
      </c>
      <c r="AG32" s="57">
        <f t="shared" si="82"/>
        <v>396.17630407759799</v>
      </c>
      <c r="AH32" s="57">
        <f t="shared" si="82"/>
        <v>396.17630407759799</v>
      </c>
      <c r="AI32" s="57">
        <f t="shared" si="82"/>
        <v>396.17630407759799</v>
      </c>
      <c r="AJ32" s="57">
        <f t="shared" si="82"/>
        <v>396.17630407759799</v>
      </c>
      <c r="AK32" s="57">
        <f t="shared" si="82"/>
        <v>396.17630407759799</v>
      </c>
      <c r="AL32" s="57">
        <f t="shared" si="82"/>
        <v>396.17630407759799</v>
      </c>
      <c r="AM32" s="57">
        <f t="shared" si="82"/>
        <v>396.17630407759799</v>
      </c>
      <c r="AN32" s="57">
        <f t="shared" si="82"/>
        <v>396.17630407759799</v>
      </c>
      <c r="AO32" s="57">
        <f t="shared" si="82"/>
        <v>0</v>
      </c>
      <c r="AP32" s="57">
        <f t="shared" si="82"/>
        <v>0</v>
      </c>
      <c r="AQ32" s="57">
        <f t="shared" si="82"/>
        <v>0</v>
      </c>
      <c r="AR32" s="57">
        <f t="shared" si="82"/>
        <v>0</v>
      </c>
      <c r="AS32" s="57">
        <f t="shared" si="82"/>
        <v>0</v>
      </c>
      <c r="AT32" s="57">
        <f t="shared" si="82"/>
        <v>0</v>
      </c>
      <c r="AU32" s="57">
        <f t="shared" si="82"/>
        <v>0</v>
      </c>
      <c r="AV32" s="57">
        <f t="shared" si="82"/>
        <v>0</v>
      </c>
      <c r="AW32" s="57">
        <f t="shared" si="82"/>
        <v>0</v>
      </c>
      <c r="AX32" s="57">
        <f t="shared" si="82"/>
        <v>0</v>
      </c>
      <c r="AY32" s="57">
        <f t="shared" si="82"/>
        <v>0</v>
      </c>
      <c r="AZ32" s="57">
        <f t="shared" si="82"/>
        <v>0</v>
      </c>
      <c r="BA32" s="57">
        <f t="shared" si="82"/>
        <v>0</v>
      </c>
      <c r="BB32" s="57">
        <f t="shared" si="82"/>
        <v>0</v>
      </c>
      <c r="BC32" s="57">
        <f t="shared" si="82"/>
        <v>0</v>
      </c>
      <c r="BD32" s="57">
        <f t="shared" si="82"/>
        <v>0</v>
      </c>
      <c r="BE32" s="57">
        <f t="shared" si="82"/>
        <v>0</v>
      </c>
      <c r="BF32" s="57">
        <f t="shared" si="82"/>
        <v>0</v>
      </c>
      <c r="BG32" s="57">
        <f t="shared" si="82"/>
        <v>0</v>
      </c>
      <c r="BH32" s="57">
        <f t="shared" si="82"/>
        <v>0</v>
      </c>
      <c r="BI32" s="57">
        <f t="shared" si="82"/>
        <v>0</v>
      </c>
      <c r="BJ32" s="57">
        <f t="shared" si="82"/>
        <v>0</v>
      </c>
      <c r="BK32" s="57">
        <f t="shared" si="82"/>
        <v>0</v>
      </c>
      <c r="BL32" s="57">
        <f t="shared" si="82"/>
        <v>0</v>
      </c>
    </row>
    <row r="33" spans="2:64" x14ac:dyDescent="0.2"/>
    <row r="34" spans="2:64" x14ac:dyDescent="0.2">
      <c r="B34" s="45" t="s">
        <v>95</v>
      </c>
    </row>
    <row r="35" spans="2:64" x14ac:dyDescent="0.2">
      <c r="C35" s="36" t="s">
        <v>96</v>
      </c>
      <c r="D35" s="55">
        <f t="shared" ref="D35:AI35" si="83">IF(AND(MONTH(D4)=MONTH(Sale_Date),YEAR(D4)=YEAR(Sale_Date)),Sale_Price,0)</f>
        <v>0</v>
      </c>
      <c r="E35" s="55">
        <f t="shared" si="83"/>
        <v>0</v>
      </c>
      <c r="F35" s="55">
        <f t="shared" si="83"/>
        <v>0</v>
      </c>
      <c r="G35" s="55">
        <f t="shared" si="83"/>
        <v>0</v>
      </c>
      <c r="H35" s="55">
        <f t="shared" si="83"/>
        <v>0</v>
      </c>
      <c r="I35" s="55">
        <f t="shared" si="83"/>
        <v>0</v>
      </c>
      <c r="J35" s="55">
        <f t="shared" si="83"/>
        <v>0</v>
      </c>
      <c r="K35" s="55">
        <f t="shared" si="83"/>
        <v>0</v>
      </c>
      <c r="L35" s="55">
        <f t="shared" si="83"/>
        <v>0</v>
      </c>
      <c r="M35" s="55">
        <f t="shared" si="83"/>
        <v>0</v>
      </c>
      <c r="N35" s="55">
        <f t="shared" si="83"/>
        <v>0</v>
      </c>
      <c r="O35" s="55">
        <f t="shared" si="83"/>
        <v>0</v>
      </c>
      <c r="P35" s="55">
        <f t="shared" si="83"/>
        <v>0</v>
      </c>
      <c r="Q35" s="55">
        <f t="shared" si="83"/>
        <v>0</v>
      </c>
      <c r="R35" s="55">
        <f t="shared" si="83"/>
        <v>0</v>
      </c>
      <c r="S35" s="55">
        <f t="shared" si="83"/>
        <v>0</v>
      </c>
      <c r="T35" s="55">
        <f t="shared" si="83"/>
        <v>0</v>
      </c>
      <c r="U35" s="55">
        <f t="shared" si="83"/>
        <v>0</v>
      </c>
      <c r="V35" s="55">
        <f t="shared" si="83"/>
        <v>0</v>
      </c>
      <c r="W35" s="55">
        <f t="shared" si="83"/>
        <v>0</v>
      </c>
      <c r="X35" s="55">
        <f t="shared" si="83"/>
        <v>0</v>
      </c>
      <c r="Y35" s="55">
        <f t="shared" si="83"/>
        <v>0</v>
      </c>
      <c r="Z35" s="55">
        <f t="shared" si="83"/>
        <v>0</v>
      </c>
      <c r="AA35" s="55">
        <f t="shared" si="83"/>
        <v>0</v>
      </c>
      <c r="AB35" s="55">
        <f t="shared" si="83"/>
        <v>0</v>
      </c>
      <c r="AC35" s="55">
        <f t="shared" si="83"/>
        <v>0</v>
      </c>
      <c r="AD35" s="55">
        <f t="shared" si="83"/>
        <v>0</v>
      </c>
      <c r="AE35" s="55">
        <f t="shared" si="83"/>
        <v>0</v>
      </c>
      <c r="AF35" s="55">
        <f t="shared" si="83"/>
        <v>0</v>
      </c>
      <c r="AG35" s="55">
        <f t="shared" si="83"/>
        <v>0</v>
      </c>
      <c r="AH35" s="55">
        <f t="shared" si="83"/>
        <v>0</v>
      </c>
      <c r="AI35" s="55">
        <f t="shared" si="83"/>
        <v>0</v>
      </c>
      <c r="AJ35" s="55">
        <f t="shared" ref="AJ35:BL35" si="84">IF(AND(MONTH(AJ4)=MONTH(Sale_Date),YEAR(AJ4)=YEAR(Sale_Date)),Sale_Price,0)</f>
        <v>0</v>
      </c>
      <c r="AK35" s="55">
        <f t="shared" si="84"/>
        <v>0</v>
      </c>
      <c r="AL35" s="55">
        <f t="shared" si="84"/>
        <v>0</v>
      </c>
      <c r="AM35" s="55">
        <f t="shared" si="84"/>
        <v>0</v>
      </c>
      <c r="AN35" s="55">
        <f t="shared" si="84"/>
        <v>175000</v>
      </c>
      <c r="AO35" s="55">
        <f t="shared" si="84"/>
        <v>0</v>
      </c>
      <c r="AP35" s="55">
        <f t="shared" si="84"/>
        <v>0</v>
      </c>
      <c r="AQ35" s="55">
        <f t="shared" si="84"/>
        <v>0</v>
      </c>
      <c r="AR35" s="55">
        <f t="shared" si="84"/>
        <v>0</v>
      </c>
      <c r="AS35" s="55">
        <f t="shared" si="84"/>
        <v>0</v>
      </c>
      <c r="AT35" s="55">
        <f t="shared" si="84"/>
        <v>0</v>
      </c>
      <c r="AU35" s="55">
        <f t="shared" si="84"/>
        <v>0</v>
      </c>
      <c r="AV35" s="55">
        <f t="shared" si="84"/>
        <v>0</v>
      </c>
      <c r="AW35" s="55">
        <f t="shared" si="84"/>
        <v>0</v>
      </c>
      <c r="AX35" s="55">
        <f t="shared" si="84"/>
        <v>0</v>
      </c>
      <c r="AY35" s="55">
        <f t="shared" si="84"/>
        <v>0</v>
      </c>
      <c r="AZ35" s="55">
        <f t="shared" si="84"/>
        <v>0</v>
      </c>
      <c r="BA35" s="55">
        <f t="shared" si="84"/>
        <v>0</v>
      </c>
      <c r="BB35" s="55">
        <f t="shared" si="84"/>
        <v>0</v>
      </c>
      <c r="BC35" s="55">
        <f t="shared" si="84"/>
        <v>0</v>
      </c>
      <c r="BD35" s="55">
        <f t="shared" si="84"/>
        <v>0</v>
      </c>
      <c r="BE35" s="55">
        <f t="shared" si="84"/>
        <v>0</v>
      </c>
      <c r="BF35" s="55">
        <f t="shared" si="84"/>
        <v>0</v>
      </c>
      <c r="BG35" s="55">
        <f t="shared" si="84"/>
        <v>0</v>
      </c>
      <c r="BH35" s="55">
        <f t="shared" si="84"/>
        <v>0</v>
      </c>
      <c r="BI35" s="55">
        <f t="shared" si="84"/>
        <v>0</v>
      </c>
      <c r="BJ35" s="55">
        <f t="shared" si="84"/>
        <v>0</v>
      </c>
      <c r="BK35" s="55">
        <f t="shared" si="84"/>
        <v>0</v>
      </c>
      <c r="BL35" s="55">
        <f t="shared" si="84"/>
        <v>0</v>
      </c>
    </row>
    <row r="36" spans="2:64" x14ac:dyDescent="0.2">
      <c r="C36" s="36" t="s">
        <v>97</v>
      </c>
      <c r="D36" s="55">
        <f t="shared" ref="D36:AI36" si="85">IF(D35&gt;0,-Broker_Fee*Sale_Price,0)</f>
        <v>0</v>
      </c>
      <c r="E36" s="55">
        <f t="shared" si="85"/>
        <v>0</v>
      </c>
      <c r="F36" s="55">
        <f t="shared" si="85"/>
        <v>0</v>
      </c>
      <c r="G36" s="55">
        <f t="shared" si="85"/>
        <v>0</v>
      </c>
      <c r="H36" s="55">
        <f t="shared" si="85"/>
        <v>0</v>
      </c>
      <c r="I36" s="55">
        <f t="shared" si="85"/>
        <v>0</v>
      </c>
      <c r="J36" s="55">
        <f t="shared" si="85"/>
        <v>0</v>
      </c>
      <c r="K36" s="55">
        <f t="shared" si="85"/>
        <v>0</v>
      </c>
      <c r="L36" s="55">
        <f t="shared" si="85"/>
        <v>0</v>
      </c>
      <c r="M36" s="55">
        <f t="shared" si="85"/>
        <v>0</v>
      </c>
      <c r="N36" s="55">
        <f t="shared" si="85"/>
        <v>0</v>
      </c>
      <c r="O36" s="55">
        <f t="shared" si="85"/>
        <v>0</v>
      </c>
      <c r="P36" s="55">
        <f t="shared" si="85"/>
        <v>0</v>
      </c>
      <c r="Q36" s="55">
        <f t="shared" si="85"/>
        <v>0</v>
      </c>
      <c r="R36" s="55">
        <f t="shared" si="85"/>
        <v>0</v>
      </c>
      <c r="S36" s="55">
        <f t="shared" si="85"/>
        <v>0</v>
      </c>
      <c r="T36" s="55">
        <f t="shared" si="85"/>
        <v>0</v>
      </c>
      <c r="U36" s="55">
        <f t="shared" si="85"/>
        <v>0</v>
      </c>
      <c r="V36" s="55">
        <f t="shared" si="85"/>
        <v>0</v>
      </c>
      <c r="W36" s="55">
        <f t="shared" si="85"/>
        <v>0</v>
      </c>
      <c r="X36" s="55">
        <f t="shared" si="85"/>
        <v>0</v>
      </c>
      <c r="Y36" s="55">
        <f t="shared" si="85"/>
        <v>0</v>
      </c>
      <c r="Z36" s="55">
        <f t="shared" si="85"/>
        <v>0</v>
      </c>
      <c r="AA36" s="55">
        <f t="shared" si="85"/>
        <v>0</v>
      </c>
      <c r="AB36" s="55">
        <f t="shared" si="85"/>
        <v>0</v>
      </c>
      <c r="AC36" s="55">
        <f t="shared" si="85"/>
        <v>0</v>
      </c>
      <c r="AD36" s="55">
        <f t="shared" si="85"/>
        <v>0</v>
      </c>
      <c r="AE36" s="55">
        <f t="shared" si="85"/>
        <v>0</v>
      </c>
      <c r="AF36" s="55">
        <f t="shared" si="85"/>
        <v>0</v>
      </c>
      <c r="AG36" s="55">
        <f t="shared" si="85"/>
        <v>0</v>
      </c>
      <c r="AH36" s="55">
        <f t="shared" si="85"/>
        <v>0</v>
      </c>
      <c r="AI36" s="55">
        <f t="shared" si="85"/>
        <v>0</v>
      </c>
      <c r="AJ36" s="55">
        <f t="shared" ref="AJ36:BL36" si="86">IF(AJ35&gt;0,-Broker_Fee*Sale_Price,0)</f>
        <v>0</v>
      </c>
      <c r="AK36" s="55">
        <f t="shared" si="86"/>
        <v>0</v>
      </c>
      <c r="AL36" s="55">
        <f t="shared" si="86"/>
        <v>0</v>
      </c>
      <c r="AM36" s="55">
        <f t="shared" si="86"/>
        <v>0</v>
      </c>
      <c r="AN36" s="55">
        <f t="shared" si="86"/>
        <v>-7000</v>
      </c>
      <c r="AO36" s="55">
        <f t="shared" si="86"/>
        <v>0</v>
      </c>
      <c r="AP36" s="55">
        <f t="shared" si="86"/>
        <v>0</v>
      </c>
      <c r="AQ36" s="55">
        <f t="shared" si="86"/>
        <v>0</v>
      </c>
      <c r="AR36" s="55">
        <f t="shared" si="86"/>
        <v>0</v>
      </c>
      <c r="AS36" s="55">
        <f t="shared" si="86"/>
        <v>0</v>
      </c>
      <c r="AT36" s="55">
        <f t="shared" si="86"/>
        <v>0</v>
      </c>
      <c r="AU36" s="55">
        <f t="shared" si="86"/>
        <v>0</v>
      </c>
      <c r="AV36" s="55">
        <f t="shared" si="86"/>
        <v>0</v>
      </c>
      <c r="AW36" s="55">
        <f t="shared" si="86"/>
        <v>0</v>
      </c>
      <c r="AX36" s="55">
        <f t="shared" si="86"/>
        <v>0</v>
      </c>
      <c r="AY36" s="55">
        <f t="shared" si="86"/>
        <v>0</v>
      </c>
      <c r="AZ36" s="55">
        <f t="shared" si="86"/>
        <v>0</v>
      </c>
      <c r="BA36" s="55">
        <f t="shared" si="86"/>
        <v>0</v>
      </c>
      <c r="BB36" s="55">
        <f t="shared" si="86"/>
        <v>0</v>
      </c>
      <c r="BC36" s="55">
        <f t="shared" si="86"/>
        <v>0</v>
      </c>
      <c r="BD36" s="55">
        <f t="shared" si="86"/>
        <v>0</v>
      </c>
      <c r="BE36" s="55">
        <f t="shared" si="86"/>
        <v>0</v>
      </c>
      <c r="BF36" s="55">
        <f t="shared" si="86"/>
        <v>0</v>
      </c>
      <c r="BG36" s="55">
        <f t="shared" si="86"/>
        <v>0</v>
      </c>
      <c r="BH36" s="55">
        <f t="shared" si="86"/>
        <v>0</v>
      </c>
      <c r="BI36" s="55">
        <f t="shared" si="86"/>
        <v>0</v>
      </c>
      <c r="BJ36" s="55">
        <f t="shared" si="86"/>
        <v>0</v>
      </c>
      <c r="BK36" s="55">
        <f t="shared" si="86"/>
        <v>0</v>
      </c>
      <c r="BL36" s="55">
        <f t="shared" si="86"/>
        <v>0</v>
      </c>
    </row>
    <row r="37" spans="2:64" x14ac:dyDescent="0.2">
      <c r="C37" s="36" t="s">
        <v>98</v>
      </c>
      <c r="D37" s="55">
        <f>IF(D35&gt;0,-'Inputs &amp; Summary'!$F$29*Sale_Price,0)</f>
        <v>0</v>
      </c>
      <c r="E37" s="55">
        <f>IF(E35&gt;0,-'Inputs &amp; Summary'!$F$29*Sale_Price,0)</f>
        <v>0</v>
      </c>
      <c r="F37" s="55">
        <f>IF(F35&gt;0,-'Inputs &amp; Summary'!$F$29*Sale_Price,0)</f>
        <v>0</v>
      </c>
      <c r="G37" s="55">
        <f>IF(G35&gt;0,-'Inputs &amp; Summary'!$F$29*Sale_Price,0)</f>
        <v>0</v>
      </c>
      <c r="H37" s="55">
        <f>IF(H35&gt;0,-'Inputs &amp; Summary'!$F$29*Sale_Price,0)</f>
        <v>0</v>
      </c>
      <c r="I37" s="55">
        <f>IF(I35&gt;0,-'Inputs &amp; Summary'!$F$29*Sale_Price,0)</f>
        <v>0</v>
      </c>
      <c r="J37" s="55">
        <f>IF(J35&gt;0,-'Inputs &amp; Summary'!$F$29*Sale_Price,0)</f>
        <v>0</v>
      </c>
      <c r="K37" s="55">
        <f>IF(K35&gt;0,-'Inputs &amp; Summary'!$F$29*Sale_Price,0)</f>
        <v>0</v>
      </c>
      <c r="L37" s="55">
        <f>IF(L35&gt;0,-'Inputs &amp; Summary'!$F$29*Sale_Price,0)</f>
        <v>0</v>
      </c>
      <c r="M37" s="55">
        <f>IF(M35&gt;0,-'Inputs &amp; Summary'!$F$29*Sale_Price,0)</f>
        <v>0</v>
      </c>
      <c r="N37" s="55">
        <f>IF(N35&gt;0,-'Inputs &amp; Summary'!$F$29*Sale_Price,0)</f>
        <v>0</v>
      </c>
      <c r="O37" s="55">
        <f>IF(O35&gt;0,-'Inputs &amp; Summary'!$F$29*Sale_Price,0)</f>
        <v>0</v>
      </c>
      <c r="P37" s="55">
        <f>IF(P35&gt;0,-'Inputs &amp; Summary'!$F$29*Sale_Price,0)</f>
        <v>0</v>
      </c>
      <c r="Q37" s="55">
        <f>IF(Q35&gt;0,-'Inputs &amp; Summary'!$F$29*Sale_Price,0)</f>
        <v>0</v>
      </c>
      <c r="R37" s="55">
        <f>IF(R35&gt;0,-'Inputs &amp; Summary'!$F$29*Sale_Price,0)</f>
        <v>0</v>
      </c>
      <c r="S37" s="55">
        <f>IF(S35&gt;0,-'Inputs &amp; Summary'!$F$29*Sale_Price,0)</f>
        <v>0</v>
      </c>
      <c r="T37" s="55">
        <f>IF(T35&gt;0,-'Inputs &amp; Summary'!$F$29*Sale_Price,0)</f>
        <v>0</v>
      </c>
      <c r="U37" s="55">
        <f>IF(U35&gt;0,-'Inputs &amp; Summary'!$F$29*Sale_Price,0)</f>
        <v>0</v>
      </c>
      <c r="V37" s="55">
        <f>IF(V35&gt;0,-'Inputs &amp; Summary'!$F$29*Sale_Price,0)</f>
        <v>0</v>
      </c>
      <c r="W37" s="55">
        <f>IF(W35&gt;0,-'Inputs &amp; Summary'!$F$29*Sale_Price,0)</f>
        <v>0</v>
      </c>
      <c r="X37" s="55">
        <f>IF(X35&gt;0,-'Inputs &amp; Summary'!$F$29*Sale_Price,0)</f>
        <v>0</v>
      </c>
      <c r="Y37" s="55">
        <f>IF(Y35&gt;0,-'Inputs &amp; Summary'!$F$29*Sale_Price,0)</f>
        <v>0</v>
      </c>
      <c r="Z37" s="55">
        <f>IF(Z35&gt;0,-'Inputs &amp; Summary'!$F$29*Sale_Price,0)</f>
        <v>0</v>
      </c>
      <c r="AA37" s="55">
        <f>IF(AA35&gt;0,-'Inputs &amp; Summary'!$F$29*Sale_Price,0)</f>
        <v>0</v>
      </c>
      <c r="AB37" s="55">
        <f>IF(AB35&gt;0,-'Inputs &amp; Summary'!$F$29*Sale_Price,0)</f>
        <v>0</v>
      </c>
      <c r="AC37" s="55">
        <f>IF(AC35&gt;0,-'Inputs &amp; Summary'!$F$29*Sale_Price,0)</f>
        <v>0</v>
      </c>
      <c r="AD37" s="55">
        <f>IF(AD35&gt;0,-'Inputs &amp; Summary'!$F$29*Sale_Price,0)</f>
        <v>0</v>
      </c>
      <c r="AE37" s="55">
        <f>IF(AE35&gt;0,-'Inputs &amp; Summary'!$F$29*Sale_Price,0)</f>
        <v>0</v>
      </c>
      <c r="AF37" s="55">
        <f>IF(AF35&gt;0,-'Inputs &amp; Summary'!$F$29*Sale_Price,0)</f>
        <v>0</v>
      </c>
      <c r="AG37" s="55">
        <f>IF(AG35&gt;0,-'Inputs &amp; Summary'!$F$29*Sale_Price,0)</f>
        <v>0</v>
      </c>
      <c r="AH37" s="55">
        <f>IF(AH35&gt;0,-'Inputs &amp; Summary'!$F$29*Sale_Price,0)</f>
        <v>0</v>
      </c>
      <c r="AI37" s="55">
        <f>IF(AI35&gt;0,-'Inputs &amp; Summary'!$F$29*Sale_Price,0)</f>
        <v>0</v>
      </c>
      <c r="AJ37" s="55">
        <f>IF(AJ35&gt;0,-'Inputs &amp; Summary'!$F$29*Sale_Price,0)</f>
        <v>0</v>
      </c>
      <c r="AK37" s="55">
        <f>IF(AK35&gt;0,-'Inputs &amp; Summary'!$F$29*Sale_Price,0)</f>
        <v>0</v>
      </c>
      <c r="AL37" s="55">
        <f>IF(AL35&gt;0,-'Inputs &amp; Summary'!$F$29*Sale_Price,0)</f>
        <v>0</v>
      </c>
      <c r="AM37" s="55">
        <f>IF(AM35&gt;0,-'Inputs &amp; Summary'!$F$29*Sale_Price,0)</f>
        <v>0</v>
      </c>
      <c r="AN37" s="55">
        <f>IF(AN35&gt;0,-'Inputs &amp; Summary'!$F$29*Sale_Price,0)</f>
        <v>-1750</v>
      </c>
      <c r="AO37" s="55">
        <f>IF(AO35&gt;0,-'Inputs &amp; Summary'!$F$29*Sale_Price,0)</f>
        <v>0</v>
      </c>
      <c r="AP37" s="55">
        <f>IF(AP35&gt;0,-'Inputs &amp; Summary'!$F$29*Sale_Price,0)</f>
        <v>0</v>
      </c>
      <c r="AQ37" s="55">
        <f>IF(AQ35&gt;0,-'Inputs &amp; Summary'!$F$29*Sale_Price,0)</f>
        <v>0</v>
      </c>
      <c r="AR37" s="55">
        <f>IF(AR35&gt;0,-'Inputs &amp; Summary'!$F$29*Sale_Price,0)</f>
        <v>0</v>
      </c>
      <c r="AS37" s="55">
        <f>IF(AS35&gt;0,-'Inputs &amp; Summary'!$F$29*Sale_Price,0)</f>
        <v>0</v>
      </c>
      <c r="AT37" s="55">
        <f>IF(AT35&gt;0,-'Inputs &amp; Summary'!$F$29*Sale_Price,0)</f>
        <v>0</v>
      </c>
      <c r="AU37" s="55">
        <f>IF(AU35&gt;0,-'Inputs &amp; Summary'!$F$29*Sale_Price,0)</f>
        <v>0</v>
      </c>
      <c r="AV37" s="55">
        <f>IF(AV35&gt;0,-'Inputs &amp; Summary'!$F$29*Sale_Price,0)</f>
        <v>0</v>
      </c>
      <c r="AW37" s="55">
        <f>IF(AW35&gt;0,-'Inputs &amp; Summary'!$F$29*Sale_Price,0)</f>
        <v>0</v>
      </c>
      <c r="AX37" s="55">
        <f>IF(AX35&gt;0,-'Inputs &amp; Summary'!$F$29*Sale_Price,0)</f>
        <v>0</v>
      </c>
      <c r="AY37" s="55">
        <f>IF(AY35&gt;0,-'Inputs &amp; Summary'!$F$29*Sale_Price,0)</f>
        <v>0</v>
      </c>
      <c r="AZ37" s="55">
        <f>IF(AZ35&gt;0,-'Inputs &amp; Summary'!$F$29*Sale_Price,0)</f>
        <v>0</v>
      </c>
      <c r="BA37" s="55">
        <f>IF(BA35&gt;0,-'Inputs &amp; Summary'!$F$29*Sale_Price,0)</f>
        <v>0</v>
      </c>
      <c r="BB37" s="55">
        <f>IF(BB35&gt;0,-'Inputs &amp; Summary'!$F$29*Sale_Price,0)</f>
        <v>0</v>
      </c>
      <c r="BC37" s="55">
        <f>IF(BC35&gt;0,-'Inputs &amp; Summary'!$F$29*Sale_Price,0)</f>
        <v>0</v>
      </c>
      <c r="BD37" s="55">
        <f>IF(BD35&gt;0,-'Inputs &amp; Summary'!$F$29*Sale_Price,0)</f>
        <v>0</v>
      </c>
      <c r="BE37" s="55">
        <f>IF(BE35&gt;0,-'Inputs &amp; Summary'!$F$29*Sale_Price,0)</f>
        <v>0</v>
      </c>
      <c r="BF37" s="55">
        <f>IF(BF35&gt;0,-'Inputs &amp; Summary'!$F$29*Sale_Price,0)</f>
        <v>0</v>
      </c>
      <c r="BG37" s="55">
        <f>IF(BG35&gt;0,-'Inputs &amp; Summary'!$F$29*Sale_Price,0)</f>
        <v>0</v>
      </c>
      <c r="BH37" s="55">
        <f>IF(BH35&gt;0,-'Inputs &amp; Summary'!$F$29*Sale_Price,0)</f>
        <v>0</v>
      </c>
      <c r="BI37" s="55">
        <f>IF(BI35&gt;0,-'Inputs &amp; Summary'!$F$29*Sale_Price,0)</f>
        <v>0</v>
      </c>
      <c r="BJ37" s="55">
        <f>IF(BJ35&gt;0,-'Inputs &amp; Summary'!$F$29*Sale_Price,0)</f>
        <v>0</v>
      </c>
      <c r="BK37" s="55">
        <f>IF(BK35&gt;0,-'Inputs &amp; Summary'!$F$29*Sale_Price,0)</f>
        <v>0</v>
      </c>
      <c r="BL37" s="55">
        <f>IF(BL35&gt;0,-'Inputs &amp; Summary'!$F$29*Sale_Price,0)</f>
        <v>0</v>
      </c>
    </row>
    <row r="38" spans="2:64" x14ac:dyDescent="0.2">
      <c r="C38" s="36" t="s">
        <v>99</v>
      </c>
      <c r="D38" s="55">
        <f>IF(D35&gt;0,D30,0)</f>
        <v>0</v>
      </c>
      <c r="E38" s="55">
        <f t="shared" ref="E38:BL38" si="87">IF(E35&gt;0,E30,0)</f>
        <v>0</v>
      </c>
      <c r="F38" s="55">
        <f t="shared" si="87"/>
        <v>0</v>
      </c>
      <c r="G38" s="55">
        <f t="shared" si="87"/>
        <v>0</v>
      </c>
      <c r="H38" s="55">
        <f t="shared" si="87"/>
        <v>0</v>
      </c>
      <c r="I38" s="55">
        <f t="shared" si="87"/>
        <v>0</v>
      </c>
      <c r="J38" s="55">
        <f t="shared" si="87"/>
        <v>0</v>
      </c>
      <c r="K38" s="55">
        <f t="shared" si="87"/>
        <v>0</v>
      </c>
      <c r="L38" s="55">
        <f t="shared" si="87"/>
        <v>0</v>
      </c>
      <c r="M38" s="55">
        <f t="shared" si="87"/>
        <v>0</v>
      </c>
      <c r="N38" s="55">
        <f t="shared" si="87"/>
        <v>0</v>
      </c>
      <c r="O38" s="55">
        <f t="shared" si="87"/>
        <v>0</v>
      </c>
      <c r="P38" s="55">
        <f t="shared" si="87"/>
        <v>0</v>
      </c>
      <c r="Q38" s="55">
        <f t="shared" si="87"/>
        <v>0</v>
      </c>
      <c r="R38" s="55">
        <f t="shared" si="87"/>
        <v>0</v>
      </c>
      <c r="S38" s="55">
        <f t="shared" si="87"/>
        <v>0</v>
      </c>
      <c r="T38" s="55">
        <f t="shared" si="87"/>
        <v>0</v>
      </c>
      <c r="U38" s="55">
        <f t="shared" si="87"/>
        <v>0</v>
      </c>
      <c r="V38" s="55">
        <f t="shared" si="87"/>
        <v>0</v>
      </c>
      <c r="W38" s="55">
        <f t="shared" si="87"/>
        <v>0</v>
      </c>
      <c r="X38" s="55">
        <f t="shared" si="87"/>
        <v>0</v>
      </c>
      <c r="Y38" s="55">
        <f t="shared" si="87"/>
        <v>0</v>
      </c>
      <c r="Z38" s="55">
        <f t="shared" si="87"/>
        <v>0</v>
      </c>
      <c r="AA38" s="55">
        <f t="shared" si="87"/>
        <v>0</v>
      </c>
      <c r="AB38" s="55">
        <f t="shared" si="87"/>
        <v>0</v>
      </c>
      <c r="AC38" s="55">
        <f t="shared" si="87"/>
        <v>0</v>
      </c>
      <c r="AD38" s="55">
        <f t="shared" si="87"/>
        <v>0</v>
      </c>
      <c r="AE38" s="55">
        <f t="shared" si="87"/>
        <v>0</v>
      </c>
      <c r="AF38" s="55">
        <f t="shared" si="87"/>
        <v>0</v>
      </c>
      <c r="AG38" s="55">
        <f t="shared" si="87"/>
        <v>0</v>
      </c>
      <c r="AH38" s="55">
        <f t="shared" si="87"/>
        <v>0</v>
      </c>
      <c r="AI38" s="55">
        <f t="shared" si="87"/>
        <v>0</v>
      </c>
      <c r="AJ38" s="55">
        <f t="shared" si="87"/>
        <v>0</v>
      </c>
      <c r="AK38" s="55">
        <f t="shared" si="87"/>
        <v>0</v>
      </c>
      <c r="AL38" s="55">
        <f t="shared" si="87"/>
        <v>0</v>
      </c>
      <c r="AM38" s="55">
        <f t="shared" si="87"/>
        <v>0</v>
      </c>
      <c r="AN38" s="55">
        <f>IF(AN35&gt;0,AN30,0)</f>
        <v>-75228.33254017045</v>
      </c>
      <c r="AO38" s="55">
        <f t="shared" si="87"/>
        <v>0</v>
      </c>
      <c r="AP38" s="55">
        <f t="shared" si="87"/>
        <v>0</v>
      </c>
      <c r="AQ38" s="55">
        <f t="shared" si="87"/>
        <v>0</v>
      </c>
      <c r="AR38" s="55">
        <f t="shared" si="87"/>
        <v>0</v>
      </c>
      <c r="AS38" s="55">
        <f t="shared" si="87"/>
        <v>0</v>
      </c>
      <c r="AT38" s="55">
        <f t="shared" si="87"/>
        <v>0</v>
      </c>
      <c r="AU38" s="55">
        <f t="shared" si="87"/>
        <v>0</v>
      </c>
      <c r="AV38" s="55">
        <f t="shared" si="87"/>
        <v>0</v>
      </c>
      <c r="AW38" s="55">
        <f t="shared" si="87"/>
        <v>0</v>
      </c>
      <c r="AX38" s="55">
        <f t="shared" si="87"/>
        <v>0</v>
      </c>
      <c r="AY38" s="55">
        <f t="shared" si="87"/>
        <v>0</v>
      </c>
      <c r="AZ38" s="55">
        <f t="shared" si="87"/>
        <v>0</v>
      </c>
      <c r="BA38" s="55">
        <f t="shared" si="87"/>
        <v>0</v>
      </c>
      <c r="BB38" s="55">
        <f t="shared" si="87"/>
        <v>0</v>
      </c>
      <c r="BC38" s="55">
        <f t="shared" si="87"/>
        <v>0</v>
      </c>
      <c r="BD38" s="55">
        <f t="shared" si="87"/>
        <v>0</v>
      </c>
      <c r="BE38" s="55">
        <f t="shared" si="87"/>
        <v>0</v>
      </c>
      <c r="BF38" s="55">
        <f t="shared" si="87"/>
        <v>0</v>
      </c>
      <c r="BG38" s="55">
        <f t="shared" si="87"/>
        <v>0</v>
      </c>
      <c r="BH38" s="55">
        <f t="shared" si="87"/>
        <v>0</v>
      </c>
      <c r="BI38" s="55">
        <f t="shared" si="87"/>
        <v>0</v>
      </c>
      <c r="BJ38" s="55">
        <f t="shared" si="87"/>
        <v>0</v>
      </c>
      <c r="BK38" s="55">
        <f t="shared" si="87"/>
        <v>0</v>
      </c>
      <c r="BL38" s="55">
        <f t="shared" si="87"/>
        <v>0</v>
      </c>
    </row>
    <row r="39" spans="2:64" x14ac:dyDescent="0.2">
      <c r="C39" s="39" t="s">
        <v>100</v>
      </c>
      <c r="D39" s="57">
        <f>SUM(D35:D38)</f>
        <v>0</v>
      </c>
      <c r="E39" s="57">
        <f t="shared" ref="E39:BL39" si="88">SUM(E35:E38)</f>
        <v>0</v>
      </c>
      <c r="F39" s="57">
        <f t="shared" si="88"/>
        <v>0</v>
      </c>
      <c r="G39" s="57">
        <f t="shared" si="88"/>
        <v>0</v>
      </c>
      <c r="H39" s="57">
        <f t="shared" si="88"/>
        <v>0</v>
      </c>
      <c r="I39" s="57">
        <f t="shared" si="88"/>
        <v>0</v>
      </c>
      <c r="J39" s="57">
        <f t="shared" si="88"/>
        <v>0</v>
      </c>
      <c r="K39" s="57">
        <f t="shared" si="88"/>
        <v>0</v>
      </c>
      <c r="L39" s="57">
        <f t="shared" si="88"/>
        <v>0</v>
      </c>
      <c r="M39" s="57">
        <f t="shared" si="88"/>
        <v>0</v>
      </c>
      <c r="N39" s="57">
        <f t="shared" si="88"/>
        <v>0</v>
      </c>
      <c r="O39" s="57">
        <f t="shared" si="88"/>
        <v>0</v>
      </c>
      <c r="P39" s="57">
        <f t="shared" si="88"/>
        <v>0</v>
      </c>
      <c r="Q39" s="57">
        <f t="shared" si="88"/>
        <v>0</v>
      </c>
      <c r="R39" s="57">
        <f t="shared" si="88"/>
        <v>0</v>
      </c>
      <c r="S39" s="57">
        <f t="shared" si="88"/>
        <v>0</v>
      </c>
      <c r="T39" s="57">
        <f t="shared" si="88"/>
        <v>0</v>
      </c>
      <c r="U39" s="57">
        <f t="shared" si="88"/>
        <v>0</v>
      </c>
      <c r="V39" s="57">
        <f t="shared" si="88"/>
        <v>0</v>
      </c>
      <c r="W39" s="57">
        <f t="shared" si="88"/>
        <v>0</v>
      </c>
      <c r="X39" s="57">
        <f t="shared" si="88"/>
        <v>0</v>
      </c>
      <c r="Y39" s="57">
        <f t="shared" si="88"/>
        <v>0</v>
      </c>
      <c r="Z39" s="57">
        <f t="shared" si="88"/>
        <v>0</v>
      </c>
      <c r="AA39" s="57">
        <f t="shared" si="88"/>
        <v>0</v>
      </c>
      <c r="AB39" s="57">
        <f t="shared" si="88"/>
        <v>0</v>
      </c>
      <c r="AC39" s="57">
        <f t="shared" si="88"/>
        <v>0</v>
      </c>
      <c r="AD39" s="57">
        <f t="shared" si="88"/>
        <v>0</v>
      </c>
      <c r="AE39" s="57">
        <f t="shared" si="88"/>
        <v>0</v>
      </c>
      <c r="AF39" s="57">
        <f t="shared" si="88"/>
        <v>0</v>
      </c>
      <c r="AG39" s="57">
        <f t="shared" si="88"/>
        <v>0</v>
      </c>
      <c r="AH39" s="57">
        <f t="shared" si="88"/>
        <v>0</v>
      </c>
      <c r="AI39" s="57">
        <f t="shared" si="88"/>
        <v>0</v>
      </c>
      <c r="AJ39" s="57">
        <f t="shared" si="88"/>
        <v>0</v>
      </c>
      <c r="AK39" s="57">
        <f t="shared" si="88"/>
        <v>0</v>
      </c>
      <c r="AL39" s="57">
        <f t="shared" si="88"/>
        <v>0</v>
      </c>
      <c r="AM39" s="57">
        <f t="shared" si="88"/>
        <v>0</v>
      </c>
      <c r="AN39" s="57">
        <f t="shared" si="88"/>
        <v>91021.66745982955</v>
      </c>
      <c r="AO39" s="57">
        <f t="shared" si="88"/>
        <v>0</v>
      </c>
      <c r="AP39" s="57">
        <f t="shared" si="88"/>
        <v>0</v>
      </c>
      <c r="AQ39" s="57">
        <f t="shared" si="88"/>
        <v>0</v>
      </c>
      <c r="AR39" s="57">
        <f t="shared" si="88"/>
        <v>0</v>
      </c>
      <c r="AS39" s="57">
        <f t="shared" si="88"/>
        <v>0</v>
      </c>
      <c r="AT39" s="57">
        <f t="shared" si="88"/>
        <v>0</v>
      </c>
      <c r="AU39" s="57">
        <f t="shared" si="88"/>
        <v>0</v>
      </c>
      <c r="AV39" s="57">
        <f t="shared" si="88"/>
        <v>0</v>
      </c>
      <c r="AW39" s="57">
        <f t="shared" si="88"/>
        <v>0</v>
      </c>
      <c r="AX39" s="57">
        <f t="shared" si="88"/>
        <v>0</v>
      </c>
      <c r="AY39" s="57">
        <f t="shared" si="88"/>
        <v>0</v>
      </c>
      <c r="AZ39" s="57">
        <f t="shared" si="88"/>
        <v>0</v>
      </c>
      <c r="BA39" s="57">
        <f t="shared" si="88"/>
        <v>0</v>
      </c>
      <c r="BB39" s="57">
        <f t="shared" si="88"/>
        <v>0</v>
      </c>
      <c r="BC39" s="57">
        <f t="shared" si="88"/>
        <v>0</v>
      </c>
      <c r="BD39" s="57">
        <f t="shared" si="88"/>
        <v>0</v>
      </c>
      <c r="BE39" s="57">
        <f t="shared" si="88"/>
        <v>0</v>
      </c>
      <c r="BF39" s="57">
        <f t="shared" si="88"/>
        <v>0</v>
      </c>
      <c r="BG39" s="57">
        <f t="shared" si="88"/>
        <v>0</v>
      </c>
      <c r="BH39" s="57">
        <f t="shared" si="88"/>
        <v>0</v>
      </c>
      <c r="BI39" s="57">
        <f t="shared" si="88"/>
        <v>0</v>
      </c>
      <c r="BJ39" s="57">
        <f t="shared" si="88"/>
        <v>0</v>
      </c>
      <c r="BK39" s="57">
        <f t="shared" si="88"/>
        <v>0</v>
      </c>
      <c r="BL39" s="57">
        <f t="shared" si="88"/>
        <v>0</v>
      </c>
    </row>
    <row r="40" spans="2:64" x14ac:dyDescent="0.2"/>
    <row r="41" spans="2:64" x14ac:dyDescent="0.2">
      <c r="B41" s="45" t="s">
        <v>101</v>
      </c>
    </row>
    <row r="42" spans="2:64" x14ac:dyDescent="0.2">
      <c r="C42" s="36" t="s">
        <v>102</v>
      </c>
      <c r="D42" s="41">
        <f>D26/-SUM($D$7:$D$9)</f>
        <v>0</v>
      </c>
      <c r="E42" s="41">
        <f>E26/-SUM($D$7:$D$9)</f>
        <v>-0.12208737864077671</v>
      </c>
      <c r="F42" s="41">
        <f>F26/-SUM($D$7:$D$9)</f>
        <v>-0.12208737864077671</v>
      </c>
      <c r="G42" s="41">
        <f t="shared" ref="G42:BL42" si="89">G26/-SUM($D$7:$D$9)</f>
        <v>6.8877111317994415E-3</v>
      </c>
      <c r="H42" s="41">
        <f t="shared" si="89"/>
        <v>6.8877111317994415E-3</v>
      </c>
      <c r="I42" s="41">
        <f t="shared" si="89"/>
        <v>6.8877111317994415E-3</v>
      </c>
      <c r="J42" s="41">
        <f>J26/-SUM($D$7:$D$9)</f>
        <v>6.8877111317994415E-3</v>
      </c>
      <c r="K42" s="41">
        <f t="shared" si="89"/>
        <v>6.8877111317994415E-3</v>
      </c>
      <c r="L42" s="41">
        <f t="shared" si="89"/>
        <v>6.8877111317994415E-3</v>
      </c>
      <c r="M42" s="41">
        <f t="shared" si="89"/>
        <v>6.8877111317994415E-3</v>
      </c>
      <c r="N42" s="41">
        <f t="shared" si="89"/>
        <v>6.8877111317994415E-3</v>
      </c>
      <c r="O42" s="41">
        <f t="shared" si="89"/>
        <v>6.8877111317994415E-3</v>
      </c>
      <c r="P42" s="41">
        <f t="shared" si="89"/>
        <v>6.8877111317994415E-3</v>
      </c>
      <c r="Q42" s="41">
        <f t="shared" si="89"/>
        <v>7.108082338076872E-3</v>
      </c>
      <c r="R42" s="41">
        <f t="shared" si="89"/>
        <v>7.108082338076872E-3</v>
      </c>
      <c r="S42" s="41">
        <f t="shared" si="89"/>
        <v>7.108082338076872E-3</v>
      </c>
      <c r="T42" s="41">
        <f t="shared" si="89"/>
        <v>7.108082338076872E-3</v>
      </c>
      <c r="U42" s="41">
        <f t="shared" si="89"/>
        <v>7.108082338076872E-3</v>
      </c>
      <c r="V42" s="41">
        <f t="shared" si="89"/>
        <v>7.108082338076872E-3</v>
      </c>
      <c r="W42" s="41">
        <f t="shared" si="89"/>
        <v>7.108082338076872E-3</v>
      </c>
      <c r="X42" s="41">
        <f t="shared" si="89"/>
        <v>7.108082338076872E-3</v>
      </c>
      <c r="Y42" s="41">
        <f t="shared" si="89"/>
        <v>7.108082338076872E-3</v>
      </c>
      <c r="Z42" s="41">
        <f t="shared" si="89"/>
        <v>7.108082338076872E-3</v>
      </c>
      <c r="AA42" s="41">
        <f t="shared" si="89"/>
        <v>7.108082338076872E-3</v>
      </c>
      <c r="AB42" s="41">
        <f t="shared" si="89"/>
        <v>7.108082338076872E-3</v>
      </c>
      <c r="AC42" s="41">
        <f t="shared" si="89"/>
        <v>7.3340976148025009E-3</v>
      </c>
      <c r="AD42" s="41">
        <f t="shared" si="89"/>
        <v>7.3340976148025009E-3</v>
      </c>
      <c r="AE42" s="41">
        <f t="shared" si="89"/>
        <v>7.3340976148025009E-3</v>
      </c>
      <c r="AF42" s="41">
        <f t="shared" si="89"/>
        <v>7.3340976148025009E-3</v>
      </c>
      <c r="AG42" s="41">
        <f t="shared" si="89"/>
        <v>7.3340976148025009E-3</v>
      </c>
      <c r="AH42" s="41">
        <f t="shared" si="89"/>
        <v>7.3340976148025009E-3</v>
      </c>
      <c r="AI42" s="41">
        <f t="shared" si="89"/>
        <v>7.3340976148025009E-3</v>
      </c>
      <c r="AJ42" s="41">
        <f t="shared" si="89"/>
        <v>7.3340976148025009E-3</v>
      </c>
      <c r="AK42" s="41">
        <f t="shared" si="89"/>
        <v>7.3340976148025009E-3</v>
      </c>
      <c r="AL42" s="41">
        <f t="shared" si="89"/>
        <v>7.3340976148025009E-3</v>
      </c>
      <c r="AM42" s="41">
        <f t="shared" si="89"/>
        <v>7.3340976148025009E-3</v>
      </c>
      <c r="AN42" s="41">
        <f t="shared" si="89"/>
        <v>7.3340976148025009E-3</v>
      </c>
      <c r="AO42" s="41">
        <f t="shared" si="89"/>
        <v>0</v>
      </c>
      <c r="AP42" s="41">
        <f t="shared" si="89"/>
        <v>0</v>
      </c>
      <c r="AQ42" s="41">
        <f t="shared" si="89"/>
        <v>0</v>
      </c>
      <c r="AR42" s="41">
        <f t="shared" si="89"/>
        <v>0</v>
      </c>
      <c r="AS42" s="41">
        <f t="shared" si="89"/>
        <v>0</v>
      </c>
      <c r="AT42" s="41">
        <f t="shared" si="89"/>
        <v>0</v>
      </c>
      <c r="AU42" s="41">
        <f t="shared" si="89"/>
        <v>0</v>
      </c>
      <c r="AV42" s="41">
        <f t="shared" si="89"/>
        <v>0</v>
      </c>
      <c r="AW42" s="41">
        <f t="shared" si="89"/>
        <v>0</v>
      </c>
      <c r="AX42" s="41">
        <f t="shared" si="89"/>
        <v>0</v>
      </c>
      <c r="AY42" s="41">
        <f t="shared" si="89"/>
        <v>0</v>
      </c>
      <c r="AZ42" s="41">
        <f t="shared" si="89"/>
        <v>0</v>
      </c>
      <c r="BA42" s="41">
        <f t="shared" si="89"/>
        <v>0</v>
      </c>
      <c r="BB42" s="41">
        <f t="shared" si="89"/>
        <v>0</v>
      </c>
      <c r="BC42" s="41">
        <f t="shared" si="89"/>
        <v>0</v>
      </c>
      <c r="BD42" s="41">
        <f t="shared" si="89"/>
        <v>0</v>
      </c>
      <c r="BE42" s="41">
        <f t="shared" si="89"/>
        <v>0</v>
      </c>
      <c r="BF42" s="41">
        <f t="shared" si="89"/>
        <v>0</v>
      </c>
      <c r="BG42" s="41">
        <f t="shared" si="89"/>
        <v>0</v>
      </c>
      <c r="BH42" s="41">
        <f t="shared" si="89"/>
        <v>0</v>
      </c>
      <c r="BI42" s="41">
        <f t="shared" si="89"/>
        <v>0</v>
      </c>
      <c r="BJ42" s="41">
        <f t="shared" si="89"/>
        <v>0</v>
      </c>
      <c r="BK42" s="41">
        <f t="shared" si="89"/>
        <v>0</v>
      </c>
      <c r="BL42" s="41">
        <f t="shared" si="89"/>
        <v>0</v>
      </c>
    </row>
    <row r="43" spans="2:64" x14ac:dyDescent="0.2">
      <c r="C43" s="36" t="s">
        <v>108</v>
      </c>
      <c r="D43" s="55">
        <f>SUM(D7:D9)+D26+SUM(D35:D37)</f>
        <v>-103000</v>
      </c>
      <c r="E43" s="55">
        <f t="shared" ref="E43:AM43" si="90">SUM(E7:E9)+E26+SUM(E35:E37)</f>
        <v>-12575</v>
      </c>
      <c r="F43" s="55">
        <f t="shared" si="90"/>
        <v>-12575</v>
      </c>
      <c r="G43" s="55">
        <f t="shared" si="90"/>
        <v>709.43424657534251</v>
      </c>
      <c r="H43" s="55">
        <f t="shared" si="90"/>
        <v>709.43424657534251</v>
      </c>
      <c r="I43" s="55">
        <f t="shared" si="90"/>
        <v>709.43424657534251</v>
      </c>
      <c r="J43" s="55">
        <f t="shared" si="90"/>
        <v>709.43424657534251</v>
      </c>
      <c r="K43" s="55">
        <f t="shared" si="90"/>
        <v>709.43424657534251</v>
      </c>
      <c r="L43" s="55">
        <f t="shared" si="90"/>
        <v>709.43424657534251</v>
      </c>
      <c r="M43" s="55">
        <f t="shared" si="90"/>
        <v>709.43424657534251</v>
      </c>
      <c r="N43" s="55">
        <f t="shared" si="90"/>
        <v>709.43424657534251</v>
      </c>
      <c r="O43" s="55">
        <f t="shared" si="90"/>
        <v>709.43424657534251</v>
      </c>
      <c r="P43" s="55">
        <f t="shared" si="90"/>
        <v>709.43424657534251</v>
      </c>
      <c r="Q43" s="55">
        <f t="shared" si="90"/>
        <v>732.13248082191785</v>
      </c>
      <c r="R43" s="55">
        <f t="shared" si="90"/>
        <v>732.13248082191785</v>
      </c>
      <c r="S43" s="55">
        <f t="shared" si="90"/>
        <v>732.13248082191785</v>
      </c>
      <c r="T43" s="55">
        <f t="shared" si="90"/>
        <v>732.13248082191785</v>
      </c>
      <c r="U43" s="55">
        <f t="shared" si="90"/>
        <v>732.13248082191785</v>
      </c>
      <c r="V43" s="55">
        <f t="shared" si="90"/>
        <v>732.13248082191785</v>
      </c>
      <c r="W43" s="55">
        <f t="shared" si="90"/>
        <v>732.13248082191785</v>
      </c>
      <c r="X43" s="55">
        <f t="shared" si="90"/>
        <v>732.13248082191785</v>
      </c>
      <c r="Y43" s="55">
        <f t="shared" si="90"/>
        <v>732.13248082191785</v>
      </c>
      <c r="Z43" s="55">
        <f t="shared" si="90"/>
        <v>732.13248082191785</v>
      </c>
      <c r="AA43" s="55">
        <f t="shared" si="90"/>
        <v>732.13248082191785</v>
      </c>
      <c r="AB43" s="55">
        <f t="shared" si="90"/>
        <v>732.13248082191785</v>
      </c>
      <c r="AC43" s="55">
        <f t="shared" si="90"/>
        <v>755.41205432465756</v>
      </c>
      <c r="AD43" s="55">
        <f t="shared" si="90"/>
        <v>755.41205432465756</v>
      </c>
      <c r="AE43" s="55">
        <f t="shared" si="90"/>
        <v>755.41205432465756</v>
      </c>
      <c r="AF43" s="55">
        <f t="shared" si="90"/>
        <v>755.41205432465756</v>
      </c>
      <c r="AG43" s="55">
        <f t="shared" si="90"/>
        <v>755.41205432465756</v>
      </c>
      <c r="AH43" s="55">
        <f t="shared" si="90"/>
        <v>755.41205432465756</v>
      </c>
      <c r="AI43" s="55">
        <f t="shared" si="90"/>
        <v>755.41205432465756</v>
      </c>
      <c r="AJ43" s="55">
        <f t="shared" si="90"/>
        <v>755.41205432465756</v>
      </c>
      <c r="AK43" s="55">
        <f t="shared" si="90"/>
        <v>755.41205432465756</v>
      </c>
      <c r="AL43" s="55">
        <f t="shared" si="90"/>
        <v>755.41205432465756</v>
      </c>
      <c r="AM43" s="55">
        <f t="shared" si="90"/>
        <v>755.41205432465756</v>
      </c>
      <c r="AN43" s="55">
        <f>SUM(AN7:AN9)+AN26+SUM(AN35:AN37)</f>
        <v>167005.41205432467</v>
      </c>
      <c r="AO43" s="55">
        <f t="shared" ref="AO43:BK43" si="91">SUM(AO7:AO9)+AO26</f>
        <v>0</v>
      </c>
      <c r="AP43" s="55">
        <f t="shared" si="91"/>
        <v>0</v>
      </c>
      <c r="AQ43" s="55">
        <f t="shared" si="91"/>
        <v>0</v>
      </c>
      <c r="AR43" s="55">
        <f t="shared" si="91"/>
        <v>0</v>
      </c>
      <c r="AS43" s="55">
        <f t="shared" si="91"/>
        <v>0</v>
      </c>
      <c r="AT43" s="55">
        <f t="shared" si="91"/>
        <v>0</v>
      </c>
      <c r="AU43" s="55">
        <f t="shared" si="91"/>
        <v>0</v>
      </c>
      <c r="AV43" s="55">
        <f t="shared" si="91"/>
        <v>0</v>
      </c>
      <c r="AW43" s="55">
        <f t="shared" si="91"/>
        <v>0</v>
      </c>
      <c r="AX43" s="55">
        <f t="shared" si="91"/>
        <v>0</v>
      </c>
      <c r="AY43" s="55">
        <f t="shared" si="91"/>
        <v>0</v>
      </c>
      <c r="AZ43" s="55">
        <f t="shared" si="91"/>
        <v>0</v>
      </c>
      <c r="BA43" s="55">
        <f t="shared" si="91"/>
        <v>0</v>
      </c>
      <c r="BB43" s="55">
        <f t="shared" si="91"/>
        <v>0</v>
      </c>
      <c r="BC43" s="55">
        <f t="shared" si="91"/>
        <v>0</v>
      </c>
      <c r="BD43" s="55">
        <f t="shared" si="91"/>
        <v>0</v>
      </c>
      <c r="BE43" s="55">
        <f t="shared" si="91"/>
        <v>0</v>
      </c>
      <c r="BF43" s="55">
        <f t="shared" si="91"/>
        <v>0</v>
      </c>
      <c r="BG43" s="55">
        <f t="shared" si="91"/>
        <v>0</v>
      </c>
      <c r="BH43" s="55">
        <f t="shared" si="91"/>
        <v>0</v>
      </c>
      <c r="BI43" s="55">
        <f t="shared" si="91"/>
        <v>0</v>
      </c>
      <c r="BJ43" s="55">
        <f t="shared" si="91"/>
        <v>0</v>
      </c>
      <c r="BK43" s="55">
        <f t="shared" si="91"/>
        <v>0</v>
      </c>
      <c r="BL43" s="55">
        <f>SUM(BL7:BL9)+BL26</f>
        <v>0</v>
      </c>
    </row>
    <row r="44" spans="2:64" x14ac:dyDescent="0.2">
      <c r="C44" s="36" t="s">
        <v>109</v>
      </c>
      <c r="D44" s="42">
        <f>D48/D46</f>
        <v>1.4919615832033737</v>
      </c>
    </row>
    <row r="45" spans="2:64" x14ac:dyDescent="0.2">
      <c r="C45" s="36" t="s">
        <v>110</v>
      </c>
      <c r="D45" s="41">
        <f>XIRR($D$43:$BL$43,$D$4:$BL$4,)</f>
        <v>0.15503126978874213</v>
      </c>
    </row>
    <row r="46" spans="2:64" x14ac:dyDescent="0.2">
      <c r="C46" s="36" t="s">
        <v>111</v>
      </c>
      <c r="D46" s="55">
        <f>-SUMIF($D$43:$BL$43,"&lt;0")</f>
        <v>128150</v>
      </c>
    </row>
    <row r="47" spans="2:64" x14ac:dyDescent="0.2">
      <c r="C47" s="36" t="s">
        <v>112</v>
      </c>
      <c r="D47" s="55">
        <f>SUMIF($D$43:$BL$43,"&lt;0")+SUMIF($D$43:$BL$43,"&gt;0")</f>
        <v>63044.876887512335</v>
      </c>
    </row>
    <row r="48" spans="2:64" x14ac:dyDescent="0.2">
      <c r="C48" s="36" t="s">
        <v>113</v>
      </c>
      <c r="D48" s="55">
        <f>SUM(D46:D47)</f>
        <v>191194.87688751234</v>
      </c>
    </row>
    <row r="49" spans="2:64" x14ac:dyDescent="0.2"/>
    <row r="50" spans="2:64" x14ac:dyDescent="0.2">
      <c r="B50" s="45" t="s">
        <v>114</v>
      </c>
    </row>
    <row r="51" spans="2:64" x14ac:dyDescent="0.2">
      <c r="C51" s="36" t="s">
        <v>102</v>
      </c>
      <c r="E51" s="41">
        <f>E32/-$D$52</f>
        <v>-0.56235807609769828</v>
      </c>
      <c r="F51" s="41">
        <f t="shared" ref="F51:BL51" si="92">F32/-$D$52</f>
        <v>-0.56235807609769828</v>
      </c>
      <c r="G51" s="41">
        <f t="shared" si="92"/>
        <v>1.5226021579490562E-2</v>
      </c>
      <c r="H51" s="41">
        <f t="shared" si="92"/>
        <v>1.5226021579490562E-2</v>
      </c>
      <c r="I51" s="41">
        <f t="shared" si="92"/>
        <v>1.5226021579490562E-2</v>
      </c>
      <c r="J51" s="41">
        <f t="shared" si="92"/>
        <v>1.5226021579490562E-2</v>
      </c>
      <c r="K51" s="41">
        <f t="shared" si="92"/>
        <v>1.5226021579490562E-2</v>
      </c>
      <c r="L51" s="41">
        <f t="shared" si="92"/>
        <v>1.5226021579490562E-2</v>
      </c>
      <c r="M51" s="41">
        <f t="shared" si="92"/>
        <v>1.5226021579490562E-2</v>
      </c>
      <c r="N51" s="41">
        <f t="shared" si="92"/>
        <v>1.5226021579490562E-2</v>
      </c>
      <c r="O51" s="41">
        <f t="shared" si="92"/>
        <v>1.5226021579490562E-2</v>
      </c>
      <c r="P51" s="41">
        <f t="shared" si="92"/>
        <v>1.5226021579490562E-2</v>
      </c>
      <c r="Q51" s="41">
        <f t="shared" si="92"/>
        <v>1.6212901329341663E-2</v>
      </c>
      <c r="R51" s="41">
        <f t="shared" si="92"/>
        <v>1.6212901329341663E-2</v>
      </c>
      <c r="S51" s="41">
        <f t="shared" si="92"/>
        <v>1.6212901329341663E-2</v>
      </c>
      <c r="T51" s="41">
        <f t="shared" si="92"/>
        <v>1.6212901329341663E-2</v>
      </c>
      <c r="U51" s="41">
        <f t="shared" si="92"/>
        <v>1.6212901329341663E-2</v>
      </c>
      <c r="V51" s="41">
        <f t="shared" si="92"/>
        <v>1.6212901329341663E-2</v>
      </c>
      <c r="W51" s="41">
        <f t="shared" si="92"/>
        <v>1.6212901329341663E-2</v>
      </c>
      <c r="X51" s="41">
        <f t="shared" si="92"/>
        <v>1.6212901329341663E-2</v>
      </c>
      <c r="Y51" s="41">
        <f t="shared" si="92"/>
        <v>1.6212901329341663E-2</v>
      </c>
      <c r="Z51" s="41">
        <f t="shared" si="92"/>
        <v>1.6212901329341663E-2</v>
      </c>
      <c r="AA51" s="41">
        <f t="shared" si="92"/>
        <v>1.6212901329341663E-2</v>
      </c>
      <c r="AB51" s="41">
        <f t="shared" si="92"/>
        <v>1.6212901329341663E-2</v>
      </c>
      <c r="AC51" s="41">
        <f t="shared" si="92"/>
        <v>1.7225056699025999E-2</v>
      </c>
      <c r="AD51" s="41">
        <f t="shared" si="92"/>
        <v>1.7225056699025999E-2</v>
      </c>
      <c r="AE51" s="41">
        <f t="shared" si="92"/>
        <v>1.7225056699025999E-2</v>
      </c>
      <c r="AF51" s="41">
        <f t="shared" si="92"/>
        <v>1.7225056699025999E-2</v>
      </c>
      <c r="AG51" s="41">
        <f t="shared" si="92"/>
        <v>1.7225056699025999E-2</v>
      </c>
      <c r="AH51" s="41">
        <f t="shared" si="92"/>
        <v>1.7225056699025999E-2</v>
      </c>
      <c r="AI51" s="41">
        <f t="shared" si="92"/>
        <v>1.7225056699025999E-2</v>
      </c>
      <c r="AJ51" s="41">
        <f t="shared" si="92"/>
        <v>1.7225056699025999E-2</v>
      </c>
      <c r="AK51" s="41">
        <f t="shared" si="92"/>
        <v>1.7225056699025999E-2</v>
      </c>
      <c r="AL51" s="41">
        <f t="shared" si="92"/>
        <v>1.7225056699025999E-2</v>
      </c>
      <c r="AM51" s="41">
        <f t="shared" si="92"/>
        <v>1.7225056699025999E-2</v>
      </c>
      <c r="AN51" s="41">
        <f>AN32/-$D$52</f>
        <v>1.7225056699025999E-2</v>
      </c>
      <c r="AO51" s="41">
        <f t="shared" si="92"/>
        <v>0</v>
      </c>
      <c r="AP51" s="41">
        <f t="shared" si="92"/>
        <v>0</v>
      </c>
      <c r="AQ51" s="41">
        <f t="shared" si="92"/>
        <v>0</v>
      </c>
      <c r="AR51" s="41">
        <f t="shared" si="92"/>
        <v>0</v>
      </c>
      <c r="AS51" s="41">
        <f t="shared" si="92"/>
        <v>0</v>
      </c>
      <c r="AT51" s="41">
        <f t="shared" si="92"/>
        <v>0</v>
      </c>
      <c r="AU51" s="41">
        <f t="shared" si="92"/>
        <v>0</v>
      </c>
      <c r="AV51" s="41">
        <f t="shared" si="92"/>
        <v>0</v>
      </c>
      <c r="AW51" s="41">
        <f t="shared" si="92"/>
        <v>0</v>
      </c>
      <c r="AX51" s="41">
        <f t="shared" si="92"/>
        <v>0</v>
      </c>
      <c r="AY51" s="41">
        <f t="shared" si="92"/>
        <v>0</v>
      </c>
      <c r="AZ51" s="41">
        <f t="shared" si="92"/>
        <v>0</v>
      </c>
      <c r="BA51" s="41">
        <f t="shared" si="92"/>
        <v>0</v>
      </c>
      <c r="BB51" s="41">
        <f t="shared" si="92"/>
        <v>0</v>
      </c>
      <c r="BC51" s="41">
        <f t="shared" si="92"/>
        <v>0</v>
      </c>
      <c r="BD51" s="41">
        <f t="shared" si="92"/>
        <v>0</v>
      </c>
      <c r="BE51" s="41">
        <f t="shared" si="92"/>
        <v>0</v>
      </c>
      <c r="BF51" s="41">
        <f t="shared" si="92"/>
        <v>0</v>
      </c>
      <c r="BG51" s="41">
        <f t="shared" si="92"/>
        <v>0</v>
      </c>
      <c r="BH51" s="41">
        <f t="shared" si="92"/>
        <v>0</v>
      </c>
      <c r="BI51" s="41">
        <f t="shared" si="92"/>
        <v>0</v>
      </c>
      <c r="BJ51" s="41">
        <f t="shared" si="92"/>
        <v>0</v>
      </c>
      <c r="BK51" s="41">
        <f t="shared" si="92"/>
        <v>0</v>
      </c>
      <c r="BL51" s="41">
        <f t="shared" si="92"/>
        <v>0</v>
      </c>
    </row>
    <row r="52" spans="2:64" x14ac:dyDescent="0.2">
      <c r="C52" s="36" t="s">
        <v>115</v>
      </c>
      <c r="D52" s="55">
        <f>SUM(D7:D9)+D32+D39+D29</f>
        <v>-23000</v>
      </c>
      <c r="E52" s="55">
        <f t="shared" ref="E52:BL52" si="93">SUM(E7:E9)+E32+E39+E29</f>
        <v>-12934.23575024706</v>
      </c>
      <c r="F52" s="55">
        <f t="shared" si="93"/>
        <v>-12934.23575024706</v>
      </c>
      <c r="G52" s="55">
        <f t="shared" si="93"/>
        <v>350.19849632828294</v>
      </c>
      <c r="H52" s="55">
        <f t="shared" si="93"/>
        <v>350.19849632828294</v>
      </c>
      <c r="I52" s="55">
        <f t="shared" si="93"/>
        <v>350.19849632828294</v>
      </c>
      <c r="J52" s="55">
        <f t="shared" si="93"/>
        <v>350.19849632828294</v>
      </c>
      <c r="K52" s="55">
        <f t="shared" si="93"/>
        <v>350.19849632828294</v>
      </c>
      <c r="L52" s="55">
        <f t="shared" si="93"/>
        <v>350.19849632828294</v>
      </c>
      <c r="M52" s="55">
        <f t="shared" si="93"/>
        <v>350.19849632828294</v>
      </c>
      <c r="N52" s="55">
        <f t="shared" si="93"/>
        <v>350.19849632828294</v>
      </c>
      <c r="O52" s="55">
        <f t="shared" si="93"/>
        <v>350.19849632828294</v>
      </c>
      <c r="P52" s="55">
        <f t="shared" si="93"/>
        <v>350.19849632828294</v>
      </c>
      <c r="Q52" s="55">
        <f t="shared" si="93"/>
        <v>372.89673057485828</v>
      </c>
      <c r="R52" s="55">
        <f t="shared" si="93"/>
        <v>372.89673057485828</v>
      </c>
      <c r="S52" s="55">
        <f t="shared" si="93"/>
        <v>372.89673057485828</v>
      </c>
      <c r="T52" s="55">
        <f t="shared" si="93"/>
        <v>372.89673057485828</v>
      </c>
      <c r="U52" s="55">
        <f t="shared" si="93"/>
        <v>372.89673057485828</v>
      </c>
      <c r="V52" s="55">
        <f t="shared" si="93"/>
        <v>372.89673057485828</v>
      </c>
      <c r="W52" s="55">
        <f t="shared" si="93"/>
        <v>372.89673057485828</v>
      </c>
      <c r="X52" s="55">
        <f t="shared" si="93"/>
        <v>372.89673057485828</v>
      </c>
      <c r="Y52" s="55">
        <f t="shared" si="93"/>
        <v>372.89673057485828</v>
      </c>
      <c r="Z52" s="55">
        <f t="shared" si="93"/>
        <v>372.89673057485828</v>
      </c>
      <c r="AA52" s="55">
        <f t="shared" si="93"/>
        <v>372.89673057485828</v>
      </c>
      <c r="AB52" s="55">
        <f t="shared" si="93"/>
        <v>372.89673057485828</v>
      </c>
      <c r="AC52" s="55">
        <f t="shared" si="93"/>
        <v>396.17630407759799</v>
      </c>
      <c r="AD52" s="55">
        <f t="shared" si="93"/>
        <v>396.17630407759799</v>
      </c>
      <c r="AE52" s="55">
        <f t="shared" si="93"/>
        <v>396.17630407759799</v>
      </c>
      <c r="AF52" s="55">
        <f t="shared" si="93"/>
        <v>396.17630407759799</v>
      </c>
      <c r="AG52" s="55">
        <f t="shared" si="93"/>
        <v>396.17630407759799</v>
      </c>
      <c r="AH52" s="55">
        <f t="shared" si="93"/>
        <v>396.17630407759799</v>
      </c>
      <c r="AI52" s="55">
        <f t="shared" si="93"/>
        <v>396.17630407759799</v>
      </c>
      <c r="AJ52" s="55">
        <f t="shared" si="93"/>
        <v>396.17630407759799</v>
      </c>
      <c r="AK52" s="55">
        <f t="shared" si="93"/>
        <v>396.17630407759799</v>
      </c>
      <c r="AL52" s="55">
        <f t="shared" si="93"/>
        <v>396.17630407759799</v>
      </c>
      <c r="AM52" s="55">
        <f t="shared" si="93"/>
        <v>396.17630407759799</v>
      </c>
      <c r="AN52" s="55">
        <f t="shared" si="93"/>
        <v>91417.843763907149</v>
      </c>
      <c r="AO52" s="55">
        <f t="shared" si="93"/>
        <v>0</v>
      </c>
      <c r="AP52" s="55">
        <f t="shared" si="93"/>
        <v>0</v>
      </c>
      <c r="AQ52" s="55">
        <f t="shared" si="93"/>
        <v>0</v>
      </c>
      <c r="AR52" s="55">
        <f t="shared" si="93"/>
        <v>0</v>
      </c>
      <c r="AS52" s="55">
        <f t="shared" si="93"/>
        <v>0</v>
      </c>
      <c r="AT52" s="55">
        <f t="shared" si="93"/>
        <v>0</v>
      </c>
      <c r="AU52" s="55">
        <f t="shared" si="93"/>
        <v>0</v>
      </c>
      <c r="AV52" s="55">
        <f t="shared" si="93"/>
        <v>0</v>
      </c>
      <c r="AW52" s="55">
        <f t="shared" si="93"/>
        <v>0</v>
      </c>
      <c r="AX52" s="55">
        <f t="shared" si="93"/>
        <v>0</v>
      </c>
      <c r="AY52" s="55">
        <f t="shared" si="93"/>
        <v>0</v>
      </c>
      <c r="AZ52" s="55">
        <f t="shared" si="93"/>
        <v>0</v>
      </c>
      <c r="BA52" s="55">
        <f t="shared" si="93"/>
        <v>0</v>
      </c>
      <c r="BB52" s="55">
        <f t="shared" si="93"/>
        <v>0</v>
      </c>
      <c r="BC52" s="55">
        <f t="shared" si="93"/>
        <v>0</v>
      </c>
      <c r="BD52" s="55">
        <f t="shared" si="93"/>
        <v>0</v>
      </c>
      <c r="BE52" s="55">
        <f t="shared" si="93"/>
        <v>0</v>
      </c>
      <c r="BF52" s="55">
        <f t="shared" si="93"/>
        <v>0</v>
      </c>
      <c r="BG52" s="55">
        <f t="shared" si="93"/>
        <v>0</v>
      </c>
      <c r="BH52" s="55">
        <f t="shared" si="93"/>
        <v>0</v>
      </c>
      <c r="BI52" s="55">
        <f t="shared" si="93"/>
        <v>0</v>
      </c>
      <c r="BJ52" s="55">
        <f t="shared" si="93"/>
        <v>0</v>
      </c>
      <c r="BK52" s="55">
        <f t="shared" si="93"/>
        <v>0</v>
      </c>
      <c r="BL52" s="55">
        <f t="shared" si="93"/>
        <v>0</v>
      </c>
    </row>
    <row r="53" spans="2:64" x14ac:dyDescent="0.2">
      <c r="C53" s="36" t="s">
        <v>116</v>
      </c>
      <c r="D53" s="42">
        <f>D57/D55</f>
        <v>2.1230974829628706</v>
      </c>
    </row>
    <row r="54" spans="2:64" x14ac:dyDescent="0.2">
      <c r="C54" s="36" t="s">
        <v>117</v>
      </c>
      <c r="D54" s="41">
        <f>XIRR($D$52:$BL$52,$D$4:$BL$4,)</f>
        <v>0.31790061593055741</v>
      </c>
    </row>
    <row r="55" spans="2:64" x14ac:dyDescent="0.2">
      <c r="C55" s="36" t="s">
        <v>111</v>
      </c>
      <c r="D55" s="55">
        <f>-SUMIF($D$52:$BL$52,"&lt;0")</f>
        <v>48868.471500494124</v>
      </c>
    </row>
    <row r="56" spans="2:64" x14ac:dyDescent="0.2">
      <c r="C56" s="36" t="s">
        <v>118</v>
      </c>
      <c r="D56" s="55">
        <f>SUMIF($D$52:$BL$52,"&lt;0")+SUMIF($D$52:$BL$52,"&gt;0")</f>
        <v>54884.057338447732</v>
      </c>
    </row>
    <row r="57" spans="2:64" x14ac:dyDescent="0.2">
      <c r="C57" s="36" t="s">
        <v>113</v>
      </c>
      <c r="D57" s="55">
        <f>SUM(D55:D56)</f>
        <v>103752.52883894186</v>
      </c>
    </row>
    <row r="58" spans="2:64" x14ac:dyDescent="0.2"/>
    <row r="59" spans="2:64" x14ac:dyDescent="0.2"/>
  </sheetData>
  <pageMargins left="0.7" right="0.7" top="0.75" bottom="0.75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43"/>
  <sheetViews>
    <sheetView showGridLines="0" zoomScale="115" zoomScaleNormal="115" zoomScalePageLayoutView="115" workbookViewId="0">
      <selection activeCell="C11" sqref="C11"/>
    </sheetView>
  </sheetViews>
  <sheetFormatPr baseColWidth="10" defaultColWidth="8.83203125" defaultRowHeight="15" x14ac:dyDescent="0.2"/>
  <cols>
    <col min="1" max="1" width="8.83203125" style="58"/>
    <col min="2" max="2" width="2.5" style="58" customWidth="1"/>
    <col min="3" max="3" width="42" style="58" customWidth="1"/>
    <col min="4" max="4" width="8.83203125" style="58"/>
    <col min="5" max="5" width="12.83203125" style="58" bestFit="1" customWidth="1"/>
    <col min="6" max="9" width="13.83203125" style="58" bestFit="1" customWidth="1"/>
    <col min="10" max="10" width="14.33203125" style="58" bestFit="1" customWidth="1"/>
    <col min="11" max="12" width="8.83203125" style="58"/>
    <col min="13" max="13" width="3.33203125" style="58" customWidth="1"/>
    <col min="14" max="16384" width="8.83203125" style="58"/>
  </cols>
  <sheetData>
    <row r="1" spans="2:13" ht="16" thickBot="1" x14ac:dyDescent="0.25"/>
    <row r="2" spans="2:13" ht="16" thickTop="1" x14ac:dyDescent="0.2">
      <c r="B2" s="20" t="s">
        <v>119</v>
      </c>
      <c r="C2" s="7"/>
      <c r="D2" s="7"/>
      <c r="E2" s="7"/>
      <c r="F2" s="7"/>
      <c r="G2" s="7"/>
      <c r="H2" s="7"/>
      <c r="I2" s="7"/>
      <c r="J2" s="7"/>
      <c r="K2" s="7"/>
      <c r="L2" s="48"/>
      <c r="M2" s="48" t="str">
        <f>'Inputs &amp; Summary'!F5</f>
        <v>Earl's Court</v>
      </c>
    </row>
    <row r="3" spans="2:13" x14ac:dyDescent="0.2">
      <c r="B3" s="9"/>
      <c r="C3" s="2"/>
      <c r="D3" s="2"/>
      <c r="E3" s="2"/>
      <c r="F3" s="2"/>
      <c r="G3" s="2"/>
      <c r="H3" s="2"/>
      <c r="I3" s="2"/>
      <c r="J3" s="2"/>
      <c r="K3" s="2"/>
      <c r="L3" s="2"/>
      <c r="M3" s="10"/>
    </row>
    <row r="4" spans="2:13" x14ac:dyDescent="0.2">
      <c r="B4" s="9"/>
      <c r="C4" s="2"/>
      <c r="D4" s="2"/>
      <c r="E4" s="30" t="s">
        <v>81</v>
      </c>
      <c r="F4" s="59">
        <v>1</v>
      </c>
      <c r="G4" s="59">
        <v>2</v>
      </c>
      <c r="H4" s="59">
        <v>3</v>
      </c>
      <c r="I4" s="59">
        <v>4</v>
      </c>
      <c r="J4" s="59">
        <v>5</v>
      </c>
      <c r="K4" s="2"/>
      <c r="L4" s="2"/>
      <c r="M4" s="10"/>
    </row>
    <row r="5" spans="2:13" x14ac:dyDescent="0.2">
      <c r="B5" s="9"/>
      <c r="C5" s="2"/>
      <c r="D5" s="2"/>
      <c r="E5" s="30" t="s">
        <v>122</v>
      </c>
      <c r="F5" s="2" t="str">
        <f>"31-Dec" &amp;"-"&amp;YEAR(Purch_Date)</f>
        <v>31-Dec-2019</v>
      </c>
      <c r="G5" s="60">
        <f>EOMONTH(F5,12)</f>
        <v>44196</v>
      </c>
      <c r="H5" s="60">
        <f t="shared" ref="H5:J5" si="0">EOMONTH(G5,12)</f>
        <v>44561</v>
      </c>
      <c r="I5" s="60">
        <f t="shared" si="0"/>
        <v>44926</v>
      </c>
      <c r="J5" s="60">
        <f t="shared" si="0"/>
        <v>45291</v>
      </c>
      <c r="K5" s="2"/>
      <c r="L5" s="2"/>
      <c r="M5" s="10"/>
    </row>
    <row r="6" spans="2:13" x14ac:dyDescent="0.2">
      <c r="B6" s="9"/>
      <c r="C6" s="2" t="s">
        <v>74</v>
      </c>
      <c r="D6" s="2"/>
      <c r="E6" s="2"/>
      <c r="F6" s="2"/>
      <c r="G6" s="2"/>
      <c r="H6" s="2"/>
      <c r="I6" s="2"/>
      <c r="J6" s="2"/>
      <c r="K6" s="2"/>
      <c r="L6" s="2"/>
      <c r="M6" s="10"/>
    </row>
    <row r="7" spans="2:13" x14ac:dyDescent="0.2">
      <c r="B7" s="9"/>
      <c r="C7" s="61" t="s">
        <v>75</v>
      </c>
      <c r="D7" s="2"/>
      <c r="E7" s="2"/>
      <c r="F7" s="55">
        <f>-Purch_Price</f>
        <v>-100000</v>
      </c>
      <c r="G7" s="55">
        <f>SUMIF(Cashflows!$D$2:$BL$2,Proforma!G$4,Cashflows!$D7:$BL7)</f>
        <v>0</v>
      </c>
      <c r="H7" s="55">
        <f>SUMIF(Cashflows!$D$2:$BL$2,Proforma!H$4,Cashflows!$D7:$BL7)</f>
        <v>0</v>
      </c>
      <c r="I7" s="55">
        <f>SUMIF(Cashflows!$D$2:$BL$2,Proforma!I$4,Cashflows!$D7:$BL7)</f>
        <v>0</v>
      </c>
      <c r="J7" s="55">
        <f>SUMIF(Cashflows!$D$2:$BL$2,Proforma!J$4,Cashflows!$D7:$BL7)</f>
        <v>0</v>
      </c>
      <c r="K7" s="2"/>
      <c r="L7" s="2"/>
      <c r="M7" s="10"/>
    </row>
    <row r="8" spans="2:13" x14ac:dyDescent="0.2">
      <c r="B8" s="9"/>
      <c r="C8" s="61" t="s">
        <v>76</v>
      </c>
      <c r="D8" s="2"/>
      <c r="E8" s="2"/>
      <c r="F8" s="55">
        <f>Cashflows!D8</f>
        <v>-1500</v>
      </c>
      <c r="G8" s="55">
        <f>SUMIF(Cashflows!$D$2:$BL$2,Proforma!G$4,Cashflows!$D8:$BL8)</f>
        <v>0</v>
      </c>
      <c r="H8" s="55">
        <f>SUMIF(Cashflows!$D$2:$BL$2,Proforma!H$4,Cashflows!$D8:$BL8)</f>
        <v>0</v>
      </c>
      <c r="I8" s="55">
        <f>SUMIF(Cashflows!$D$2:$BL$2,Proforma!I$4,Cashflows!$D8:$BL8)</f>
        <v>0</v>
      </c>
      <c r="J8" s="55">
        <f>SUMIF(Cashflows!$D$2:$BL$2,Proforma!J$4,Cashflows!$D8:$BL8)</f>
        <v>0</v>
      </c>
      <c r="K8" s="2"/>
      <c r="L8" s="2"/>
      <c r="M8" s="10"/>
    </row>
    <row r="9" spans="2:13" x14ac:dyDescent="0.2">
      <c r="B9" s="9"/>
      <c r="C9" s="61" t="s">
        <v>77</v>
      </c>
      <c r="D9" s="2"/>
      <c r="E9" s="2"/>
      <c r="F9" s="55">
        <f>Cashflows!D9</f>
        <v>-1500</v>
      </c>
      <c r="G9" s="55">
        <f>SUMIF(Cashflows!$D$2:$BL$2,Proforma!G$4,Cashflows!$D9:$BL9)</f>
        <v>0</v>
      </c>
      <c r="H9" s="55">
        <f>SUMIF(Cashflows!$D$2:$BL$2,Proforma!H$4,Cashflows!$D9:$BL9)</f>
        <v>0</v>
      </c>
      <c r="I9" s="55">
        <f>SUMIF(Cashflows!$D$2:$BL$2,Proforma!I$4,Cashflows!$D9:$BL9)</f>
        <v>0</v>
      </c>
      <c r="J9" s="55">
        <f>SUMIF(Cashflows!$D$2:$BL$2,Proforma!J$4,Cashflows!$D9:$BL9)</f>
        <v>0</v>
      </c>
      <c r="K9" s="2"/>
      <c r="L9" s="2"/>
      <c r="M9" s="10"/>
    </row>
    <row r="10" spans="2:13" x14ac:dyDescent="0.2">
      <c r="B10" s="9"/>
      <c r="C10" s="61" t="s">
        <v>120</v>
      </c>
      <c r="D10" s="2"/>
      <c r="E10" s="2"/>
      <c r="F10" s="55">
        <f>Loan_Amount</f>
        <v>80000</v>
      </c>
      <c r="G10" s="55">
        <f>SUMIF(Cashflows!$D$2:$BL$2,Proforma!G$4,Cashflows!$D29:$BL29)</f>
        <v>0</v>
      </c>
      <c r="H10" s="55">
        <f>SUMIF(Cashflows!$D$2:$BL$2,Proforma!H$4,Cashflows!$D29:$BL29)</f>
        <v>0</v>
      </c>
      <c r="I10" s="55">
        <f>SUMIF(Cashflows!$D$2:$BL$2,Proforma!I$4,Cashflows!$D29:$BL29)</f>
        <v>0</v>
      </c>
      <c r="J10" s="55">
        <f>SUMIF(Cashflows!$D$2:$BL$2,Proforma!J$4,Cashflows!$D29:$BL29)</f>
        <v>0</v>
      </c>
      <c r="K10" s="2"/>
      <c r="L10" s="2"/>
      <c r="M10" s="10"/>
    </row>
    <row r="11" spans="2:13" x14ac:dyDescent="0.2">
      <c r="B11" s="9"/>
      <c r="C11" s="61" t="s">
        <v>121</v>
      </c>
      <c r="D11" s="2"/>
      <c r="E11" s="2"/>
      <c r="F11" s="55">
        <f>SUM(F7:F10)</f>
        <v>-23000</v>
      </c>
      <c r="G11" s="55"/>
      <c r="H11" s="55"/>
      <c r="I11" s="55"/>
      <c r="J11" s="55"/>
      <c r="K11" s="2"/>
      <c r="L11" s="2"/>
      <c r="M11" s="10"/>
    </row>
    <row r="12" spans="2:13" x14ac:dyDescent="0.2">
      <c r="B12" s="9"/>
      <c r="C12" s="2"/>
      <c r="D12" s="2"/>
      <c r="E12" s="2"/>
      <c r="F12" s="2"/>
      <c r="G12" s="2"/>
      <c r="H12" s="2"/>
      <c r="I12" s="2"/>
      <c r="J12" s="2"/>
      <c r="K12" s="2"/>
      <c r="L12" s="2"/>
      <c r="M12" s="10"/>
    </row>
    <row r="13" spans="2:13" x14ac:dyDescent="0.2">
      <c r="B13" s="9"/>
      <c r="C13" s="62" t="s">
        <v>123</v>
      </c>
      <c r="D13" s="2"/>
      <c r="E13" s="2"/>
      <c r="F13" s="2"/>
      <c r="G13" s="2"/>
      <c r="H13" s="2"/>
      <c r="I13" s="2"/>
      <c r="J13" s="2"/>
      <c r="K13" s="2"/>
      <c r="L13" s="2"/>
      <c r="M13" s="10"/>
    </row>
    <row r="14" spans="2:13" x14ac:dyDescent="0.2">
      <c r="B14" s="9"/>
      <c r="C14" s="61" t="s">
        <v>78</v>
      </c>
      <c r="D14" s="2"/>
      <c r="E14" s="2"/>
      <c r="F14" s="55">
        <f>SUMIF(Cashflows!$D$2:$BL$2,Proforma!F$4,Cashflows!$D12:$BL12)</f>
        <v>12000</v>
      </c>
      <c r="G14" s="55">
        <f>SUMIF(Cashflows!$D$2:$BL$2,Proforma!G$4,Cashflows!$D12:$BL12)</f>
        <v>14832</v>
      </c>
      <c r="H14" s="55">
        <f>SUMIF(Cashflows!$D$2:$BL$2,Proforma!H$4,Cashflows!$D12:$BL12)</f>
        <v>15276.96</v>
      </c>
      <c r="I14" s="55">
        <f>SUMIF(Cashflows!$D$2:$BL$2,Proforma!I$4,Cashflows!$D12:$BL12)</f>
        <v>0</v>
      </c>
      <c r="J14" s="55">
        <f>SUMIF(Cashflows!$D$2:$BL$2,Proforma!J$4,Cashflows!$D12:$BL12)</f>
        <v>0</v>
      </c>
      <c r="K14" s="2"/>
      <c r="L14" s="2"/>
      <c r="M14" s="10"/>
    </row>
    <row r="15" spans="2:13" x14ac:dyDescent="0.2">
      <c r="B15" s="9"/>
      <c r="C15" s="61" t="s">
        <v>80</v>
      </c>
      <c r="D15" s="2"/>
      <c r="E15" s="2"/>
      <c r="F15" s="55">
        <f>SUMIF(Cashflows!$D$2:$BL$2,Proforma!F$4,Cashflows!$D13:$BL13)</f>
        <v>-986.30136986301386</v>
      </c>
      <c r="G15" s="55">
        <f>SUMIF(Cashflows!$D$2:$BL$2,Proforma!G$4,Cashflows!$D13:$BL13)</f>
        <v>-1183.5616438356165</v>
      </c>
      <c r="H15" s="55">
        <f>SUMIF(Cashflows!$D$2:$BL$2,Proforma!H$4,Cashflows!$D13:$BL13)</f>
        <v>-1183.5616438356165</v>
      </c>
      <c r="I15" s="55">
        <f>SUMIF(Cashflows!$D$2:$BL$2,Proforma!I$4,Cashflows!$D13:$BL13)</f>
        <v>0</v>
      </c>
      <c r="J15" s="55">
        <f>SUMIF(Cashflows!$D$2:$BL$2,Proforma!J$4,Cashflows!$D13:$BL13)</f>
        <v>0</v>
      </c>
      <c r="K15" s="2"/>
      <c r="L15" s="2"/>
      <c r="M15" s="10"/>
    </row>
    <row r="16" spans="2:13" x14ac:dyDescent="0.2">
      <c r="B16" s="9"/>
      <c r="C16" s="63" t="s">
        <v>124</v>
      </c>
      <c r="D16" s="2"/>
      <c r="E16" s="2"/>
      <c r="F16" s="57">
        <f>SUM(F14:F15)</f>
        <v>11013.698630136987</v>
      </c>
      <c r="G16" s="57">
        <f t="shared" ref="G16:J16" si="1">SUM(G14:G15)</f>
        <v>13648.438356164384</v>
      </c>
      <c r="H16" s="57">
        <f t="shared" si="1"/>
        <v>14093.398356164384</v>
      </c>
      <c r="I16" s="57">
        <f t="shared" si="1"/>
        <v>0</v>
      </c>
      <c r="J16" s="57">
        <f t="shared" si="1"/>
        <v>0</v>
      </c>
      <c r="K16" s="2"/>
      <c r="L16" s="2"/>
      <c r="M16" s="10"/>
    </row>
    <row r="17" spans="2:13" x14ac:dyDescent="0.2">
      <c r="B17" s="9"/>
      <c r="C17" s="2"/>
      <c r="D17" s="2"/>
      <c r="E17" s="2"/>
      <c r="F17" s="2"/>
      <c r="G17" s="2"/>
      <c r="H17" s="2"/>
      <c r="I17" s="2"/>
      <c r="J17" s="2"/>
      <c r="K17" s="2"/>
      <c r="L17" s="2"/>
      <c r="M17" s="10"/>
    </row>
    <row r="18" spans="2:13" x14ac:dyDescent="0.2">
      <c r="B18" s="9"/>
      <c r="C18" s="61" t="s">
        <v>84</v>
      </c>
      <c r="D18" s="2"/>
      <c r="E18" s="2"/>
      <c r="F18" s="55">
        <f>SUMIF(Cashflows!$D$2:$BL$2,Proforma!F$4,Cashflows!$D16:$BL16)</f>
        <v>-600</v>
      </c>
      <c r="G18" s="55">
        <f>SUMIF(Cashflows!$D$2:$BL$2,Proforma!G$4,Cashflows!$D16:$BL16)</f>
        <v>-614.99999999999989</v>
      </c>
      <c r="H18" s="55">
        <f>SUMIF(Cashflows!$D$2:$BL$2,Proforma!H$4,Cashflows!$D16:$BL16)</f>
        <v>-630.37499999999989</v>
      </c>
      <c r="I18" s="55">
        <f>SUMIF(Cashflows!$D$2:$BL$2,Proforma!I$4,Cashflows!$D16:$BL16)</f>
        <v>0</v>
      </c>
      <c r="J18" s="55">
        <f>SUMIF(Cashflows!$D$2:$BL$2,Proforma!J$4,Cashflows!$D16:$BL16)</f>
        <v>0</v>
      </c>
      <c r="K18" s="2"/>
      <c r="L18" s="2"/>
      <c r="M18" s="10"/>
    </row>
    <row r="19" spans="2:13" x14ac:dyDescent="0.2">
      <c r="B19" s="9"/>
      <c r="C19" s="61" t="s">
        <v>85</v>
      </c>
      <c r="D19" s="2"/>
      <c r="E19" s="2"/>
      <c r="F19" s="55">
        <f>SUMIF(Cashflows!$D$2:$BL$2,Proforma!F$4,Cashflows!$D17:$BL17)</f>
        <v>-300</v>
      </c>
      <c r="G19" s="55">
        <f>SUMIF(Cashflows!$D$2:$BL$2,Proforma!G$4,Cashflows!$D17:$BL17)</f>
        <v>-307.49999999999994</v>
      </c>
      <c r="H19" s="55">
        <f>SUMIF(Cashflows!$D$2:$BL$2,Proforma!H$4,Cashflows!$D17:$BL17)</f>
        <v>-315.18749999999994</v>
      </c>
      <c r="I19" s="55">
        <f>SUMIF(Cashflows!$D$2:$BL$2,Proforma!I$4,Cashflows!$D17:$BL17)</f>
        <v>0</v>
      </c>
      <c r="J19" s="55">
        <f>SUMIF(Cashflows!$D$2:$BL$2,Proforma!J$4,Cashflows!$D17:$BL17)</f>
        <v>0</v>
      </c>
      <c r="K19" s="2"/>
      <c r="L19" s="2"/>
      <c r="M19" s="10"/>
    </row>
    <row r="20" spans="2:13" x14ac:dyDescent="0.2">
      <c r="B20" s="9"/>
      <c r="C20" s="61" t="s">
        <v>125</v>
      </c>
      <c r="D20" s="2"/>
      <c r="E20" s="2"/>
      <c r="F20" s="55">
        <f>SUMIF(Cashflows!$D$2:$BL$2,Proforma!F$4,Cashflows!$D18:$BL18)</f>
        <v>-1500</v>
      </c>
      <c r="G20" s="55">
        <f>SUMIF(Cashflows!$D$2:$BL$2,Proforma!G$4,Cashflows!$D18:$BL18)</f>
        <v>-1845</v>
      </c>
      <c r="H20" s="55">
        <f>SUMIF(Cashflows!$D$2:$BL$2,Proforma!H$4,Cashflows!$D18:$BL18)</f>
        <v>-1891.125</v>
      </c>
      <c r="I20" s="55">
        <f>SUMIF(Cashflows!$D$2:$BL$2,Proforma!I$4,Cashflows!$D18:$BL18)</f>
        <v>0</v>
      </c>
      <c r="J20" s="55">
        <f>SUMIF(Cashflows!$D$2:$BL$2,Proforma!J$4,Cashflows!$D18:$BL18)</f>
        <v>0</v>
      </c>
      <c r="K20" s="2"/>
      <c r="L20" s="2"/>
      <c r="M20" s="10"/>
    </row>
    <row r="21" spans="2:13" x14ac:dyDescent="0.2">
      <c r="B21" s="9"/>
      <c r="C21" s="61" t="s">
        <v>87</v>
      </c>
      <c r="D21" s="2"/>
      <c r="E21" s="2"/>
      <c r="F21" s="55">
        <f>SUMIF(Cashflows!$D$2:$BL$2,Proforma!F$4,Cashflows!$D19:$BL19)</f>
        <v>-881.09589041095899</v>
      </c>
      <c r="G21" s="55">
        <f>SUMIF(Cashflows!$D$2:$BL$2,Proforma!G$4,Cashflows!$D19:$BL19)</f>
        <v>-1119.1719452054795</v>
      </c>
      <c r="H21" s="55">
        <f>SUMIF(Cashflows!$D$2:$BL$2,Proforma!H$4,Cashflows!$D19:$BL19)</f>
        <v>-1184.5501318356164</v>
      </c>
      <c r="I21" s="55">
        <f>SUMIF(Cashflows!$D$2:$BL$2,Proforma!I$4,Cashflows!$D19:$BL19)</f>
        <v>0</v>
      </c>
      <c r="J21" s="55">
        <f>SUMIF(Cashflows!$D$2:$BL$2,Proforma!J$4,Cashflows!$D19:$BL19)</f>
        <v>0</v>
      </c>
      <c r="K21" s="2"/>
      <c r="L21" s="2"/>
      <c r="M21" s="10"/>
    </row>
    <row r="22" spans="2:13" x14ac:dyDescent="0.2">
      <c r="B22" s="9"/>
      <c r="C22" s="61" t="s">
        <v>88</v>
      </c>
      <c r="D22" s="2"/>
      <c r="E22" s="2"/>
      <c r="F22" s="57">
        <f>SUM(F18:F21)</f>
        <v>-3281.0958904109589</v>
      </c>
      <c r="G22" s="57">
        <f t="shared" ref="G22:J22" si="2">SUM(G18:G21)</f>
        <v>-3886.6719452054795</v>
      </c>
      <c r="H22" s="57">
        <f t="shared" si="2"/>
        <v>-4021.2376318356164</v>
      </c>
      <c r="I22" s="57">
        <f t="shared" si="2"/>
        <v>0</v>
      </c>
      <c r="J22" s="57">
        <f t="shared" si="2"/>
        <v>0</v>
      </c>
      <c r="K22" s="2"/>
      <c r="L22" s="2"/>
      <c r="M22" s="10"/>
    </row>
    <row r="23" spans="2:13" x14ac:dyDescent="0.2">
      <c r="B23" s="9"/>
      <c r="C23" s="2"/>
      <c r="D23" s="2"/>
      <c r="E23" s="2"/>
      <c r="F23" s="2"/>
      <c r="G23" s="2"/>
      <c r="H23" s="2"/>
      <c r="I23" s="2"/>
      <c r="J23" s="2"/>
      <c r="K23" s="2"/>
      <c r="L23" s="2"/>
      <c r="M23" s="10"/>
    </row>
    <row r="24" spans="2:13" x14ac:dyDescent="0.2">
      <c r="B24" s="9"/>
      <c r="C24" s="64" t="s">
        <v>89</v>
      </c>
      <c r="D24" s="2"/>
      <c r="E24" s="2"/>
      <c r="F24" s="56">
        <f>F16+F22</f>
        <v>7732.6027397260277</v>
      </c>
      <c r="G24" s="56">
        <f t="shared" ref="G24:J24" si="3">G16+G22</f>
        <v>9761.7664109589059</v>
      </c>
      <c r="H24" s="56">
        <f t="shared" si="3"/>
        <v>10072.160724328767</v>
      </c>
      <c r="I24" s="56">
        <f t="shared" si="3"/>
        <v>0</v>
      </c>
      <c r="J24" s="56">
        <f t="shared" si="3"/>
        <v>0</v>
      </c>
      <c r="K24" s="2"/>
      <c r="L24" s="2"/>
      <c r="M24" s="10"/>
    </row>
    <row r="25" spans="2:13" x14ac:dyDescent="0.2">
      <c r="B25" s="9"/>
      <c r="C25" s="2"/>
      <c r="D25" s="2"/>
      <c r="E25" s="2"/>
      <c r="F25" s="2"/>
      <c r="G25" s="2"/>
      <c r="H25" s="2"/>
      <c r="I25" s="2"/>
      <c r="J25" s="2"/>
      <c r="K25" s="2"/>
      <c r="L25" s="2"/>
      <c r="M25" s="10"/>
    </row>
    <row r="26" spans="2:13" x14ac:dyDescent="0.2">
      <c r="B26" s="9"/>
      <c r="C26" s="2" t="s">
        <v>104</v>
      </c>
      <c r="D26" s="2"/>
      <c r="E26" s="2"/>
      <c r="F26" s="55">
        <f>SUMIF(Cashflows!$D$2:$BL$2,Proforma!F$4,Cashflows!$D24:$BL24)</f>
        <v>-788.26027397260293</v>
      </c>
      <c r="G26" s="55">
        <f>SUMIF(Cashflows!$D$2:$BL$2,Proforma!G$4,Cashflows!$D24:$BL24)</f>
        <v>-976.17664109589066</v>
      </c>
      <c r="H26" s="55">
        <f>SUMIF(Cashflows!$D$2:$BL$2,Proforma!H$4,Cashflows!$D24:$BL24)</f>
        <v>-1007.2160724328766</v>
      </c>
      <c r="I26" s="55">
        <f>SUMIF(Cashflows!$D$2:$BL$2,Proforma!I$4,Cashflows!$D24:$BL24)</f>
        <v>0</v>
      </c>
      <c r="J26" s="55">
        <f>SUMIF(Cashflows!$D$2:$BL$2,Proforma!J$4,Cashflows!$D24:$BL24)</f>
        <v>0</v>
      </c>
      <c r="K26" s="2"/>
      <c r="L26" s="2"/>
      <c r="M26" s="10"/>
    </row>
    <row r="27" spans="2:13" x14ac:dyDescent="0.2">
      <c r="B27" s="9"/>
      <c r="C27" s="2" t="s">
        <v>90</v>
      </c>
      <c r="D27" s="2"/>
      <c r="E27" s="2"/>
      <c r="F27" s="55">
        <f>SUMIF(Cashflows!$D$2:$BL$2,Proforma!F$4,Cashflows!$D25:$BL25)</f>
        <v>-25000</v>
      </c>
      <c r="G27" s="55">
        <f>SUMIF(Cashflows!$D$2:$BL$2,Proforma!G$4,Cashflows!$D25:$BL25)</f>
        <v>0</v>
      </c>
      <c r="H27" s="55">
        <f>SUMIF(Cashflows!$D$2:$BL$2,Proforma!H$4,Cashflows!$D25:$BL25)</f>
        <v>0</v>
      </c>
      <c r="I27" s="55">
        <f>SUMIF(Cashflows!$D$2:$BL$2,Proforma!I$4,Cashflows!$D25:$BL25)</f>
        <v>0</v>
      </c>
      <c r="J27" s="55">
        <f>SUMIF(Cashflows!$D$2:$BL$2,Proforma!J$4,Cashflows!$D25:$BL25)</f>
        <v>0</v>
      </c>
      <c r="K27" s="2"/>
      <c r="L27" s="2"/>
      <c r="M27" s="10"/>
    </row>
    <row r="28" spans="2:13" x14ac:dyDescent="0.2">
      <c r="B28" s="9"/>
      <c r="C28" s="64" t="s">
        <v>126</v>
      </c>
      <c r="D28" s="2"/>
      <c r="E28" s="2"/>
      <c r="F28" s="57">
        <f>SUM(F26:F27)+F24</f>
        <v>-18055.657534246573</v>
      </c>
      <c r="G28" s="57">
        <f t="shared" ref="G28:J28" si="4">SUM(G26:G27)+G24</f>
        <v>8785.589769863016</v>
      </c>
      <c r="H28" s="57">
        <f t="shared" si="4"/>
        <v>9064.9446518958903</v>
      </c>
      <c r="I28" s="57">
        <f t="shared" si="4"/>
        <v>0</v>
      </c>
      <c r="J28" s="57">
        <f t="shared" si="4"/>
        <v>0</v>
      </c>
      <c r="K28" s="2"/>
      <c r="L28" s="2"/>
      <c r="M28" s="10"/>
    </row>
    <row r="29" spans="2:13" x14ac:dyDescent="0.2">
      <c r="B29" s="9"/>
      <c r="C29" s="2"/>
      <c r="D29" s="2"/>
      <c r="E29" s="2"/>
      <c r="F29" s="2"/>
      <c r="G29" s="2"/>
      <c r="H29" s="2"/>
      <c r="I29" s="2"/>
      <c r="J29" s="2"/>
      <c r="K29" s="2"/>
      <c r="L29" s="2"/>
      <c r="M29" s="10"/>
    </row>
    <row r="30" spans="2:13" x14ac:dyDescent="0.2">
      <c r="B30" s="9"/>
      <c r="C30" s="2" t="s">
        <v>92</v>
      </c>
      <c r="D30" s="2"/>
      <c r="E30" s="2"/>
      <c r="F30" s="2"/>
      <c r="G30" s="2"/>
      <c r="H30" s="2"/>
      <c r="I30" s="2"/>
      <c r="J30" s="2"/>
      <c r="K30" s="2"/>
      <c r="L30" s="2"/>
      <c r="M30" s="10"/>
    </row>
    <row r="31" spans="2:13" x14ac:dyDescent="0.2">
      <c r="B31" s="9"/>
      <c r="C31" s="61" t="s">
        <v>93</v>
      </c>
      <c r="D31" s="2"/>
      <c r="E31" s="2"/>
      <c r="F31" s="55">
        <f>SUMIF(Cashflows!$D$2:$BL$2,Proforma!F$4,Cashflows!$D31:$BL31)</f>
        <v>-4310.8290029647151</v>
      </c>
      <c r="G31" s="55">
        <f>SUMIF(Cashflows!$D$2:$BL$2,Proforma!G$4,Cashflows!$D31:$BL31)</f>
        <v>-4310.8290029647151</v>
      </c>
      <c r="H31" s="55">
        <f>SUMIF(Cashflows!$D$2:$BL$2,Proforma!H$4,Cashflows!$D31:$BL31)</f>
        <v>-4310.8290029647151</v>
      </c>
      <c r="I31" s="55">
        <f>SUMIF(Cashflows!$D$2:$BL$2,Proforma!I$4,Cashflows!$D31:$BL31)</f>
        <v>0</v>
      </c>
      <c r="J31" s="55">
        <f>SUMIF(Cashflows!$D$2:$BL$2,Proforma!J$4,Cashflows!$D31:$BL31)</f>
        <v>0</v>
      </c>
      <c r="K31" s="2"/>
      <c r="L31" s="2"/>
      <c r="M31" s="10"/>
    </row>
    <row r="32" spans="2:13" x14ac:dyDescent="0.2">
      <c r="B32" s="9"/>
      <c r="C32" s="2"/>
      <c r="D32" s="2"/>
      <c r="E32" s="2"/>
      <c r="F32" s="55"/>
      <c r="G32" s="55"/>
      <c r="H32" s="55"/>
      <c r="I32" s="55"/>
      <c r="J32" s="55"/>
      <c r="K32" s="2"/>
      <c r="L32" s="2"/>
      <c r="M32" s="10"/>
    </row>
    <row r="33" spans="2:13" x14ac:dyDescent="0.2">
      <c r="B33" s="9"/>
      <c r="C33" s="64" t="s">
        <v>128</v>
      </c>
      <c r="D33" s="2"/>
      <c r="E33" s="2"/>
      <c r="F33" s="55">
        <f>SUM(F31:F31)+F28</f>
        <v>-22366.486537211287</v>
      </c>
      <c r="G33" s="55">
        <f>SUM(G31:G31)+G28</f>
        <v>4474.760766898301</v>
      </c>
      <c r="H33" s="55">
        <f>SUM(H31:H31)+H28</f>
        <v>4754.1156489311752</v>
      </c>
      <c r="I33" s="55">
        <f>SUM(I31:I31)+I28</f>
        <v>0</v>
      </c>
      <c r="J33" s="55">
        <f>SUM(J31:J31)+J28</f>
        <v>0</v>
      </c>
      <c r="K33" s="2"/>
      <c r="L33" s="2"/>
      <c r="M33" s="10"/>
    </row>
    <row r="34" spans="2:13" x14ac:dyDescent="0.2">
      <c r="B34" s="9"/>
      <c r="C34" s="2"/>
      <c r="D34" s="2"/>
      <c r="E34" s="2"/>
      <c r="F34" s="2"/>
      <c r="G34" s="2"/>
      <c r="H34" s="2"/>
      <c r="I34" s="2"/>
      <c r="J34" s="2"/>
      <c r="K34" s="2"/>
      <c r="L34" s="2"/>
      <c r="M34" s="10"/>
    </row>
    <row r="35" spans="2:13" x14ac:dyDescent="0.2">
      <c r="B35" s="9"/>
      <c r="C35" s="2" t="s">
        <v>95</v>
      </c>
      <c r="D35" s="2"/>
      <c r="E35" s="2"/>
      <c r="F35" s="2"/>
      <c r="G35" s="2"/>
      <c r="H35" s="2"/>
      <c r="I35" s="2"/>
      <c r="J35" s="2"/>
      <c r="K35" s="2"/>
      <c r="L35" s="2"/>
      <c r="M35" s="10"/>
    </row>
    <row r="36" spans="2:13" x14ac:dyDescent="0.2">
      <c r="B36" s="9"/>
      <c r="C36" s="61" t="s">
        <v>96</v>
      </c>
      <c r="D36" s="2"/>
      <c r="E36" s="2"/>
      <c r="F36" s="55">
        <f>SUMIF(Cashflows!$D$2:$BL$2,Proforma!F$4,Cashflows!$D35:$BL35)</f>
        <v>0</v>
      </c>
      <c r="G36" s="55">
        <f>SUMIF(Cashflows!$D$2:$BL$2,Proforma!G$4,Cashflows!$D35:$BL35)</f>
        <v>0</v>
      </c>
      <c r="H36" s="55">
        <f>SUMIF(Cashflows!$D$2:$BL$2,Proforma!H$4,Cashflows!$D35:$BL35)</f>
        <v>175000</v>
      </c>
      <c r="I36" s="55">
        <f>SUMIF(Cashflows!$D$2:$BL$2,Proforma!I$4,Cashflows!$D35:$BL35)</f>
        <v>0</v>
      </c>
      <c r="J36" s="55">
        <f>SUMIF(Cashflows!$D$2:$BL$2,Proforma!J$4,Cashflows!$D35:$BL35)</f>
        <v>0</v>
      </c>
      <c r="K36" s="2"/>
      <c r="L36" s="2"/>
      <c r="M36" s="10"/>
    </row>
    <row r="37" spans="2:13" x14ac:dyDescent="0.2">
      <c r="B37" s="9"/>
      <c r="C37" s="61" t="s">
        <v>97</v>
      </c>
      <c r="D37" s="2"/>
      <c r="E37" s="2"/>
      <c r="F37" s="55">
        <f>SUMIF(Cashflows!$D$2:$BL$2,Proforma!F$4,Cashflows!$D36:$BL36)</f>
        <v>0</v>
      </c>
      <c r="G37" s="55">
        <f>SUMIF(Cashflows!$D$2:$BL$2,Proforma!G$4,Cashflows!$D36:$BL36)</f>
        <v>0</v>
      </c>
      <c r="H37" s="55">
        <f>SUMIF(Cashflows!$D$2:$BL$2,Proforma!H$4,Cashflows!$D36:$BL36)</f>
        <v>-7000</v>
      </c>
      <c r="I37" s="55">
        <f>SUMIF(Cashflows!$D$2:$BL$2,Proforma!I$4,Cashflows!$D36:$BL36)</f>
        <v>0</v>
      </c>
      <c r="J37" s="55">
        <f>SUMIF(Cashflows!$D$2:$BL$2,Proforma!J$4,Cashflows!$D36:$BL36)</f>
        <v>0</v>
      </c>
      <c r="K37" s="2"/>
      <c r="L37" s="2"/>
      <c r="M37" s="10"/>
    </row>
    <row r="38" spans="2:13" x14ac:dyDescent="0.2">
      <c r="B38" s="9"/>
      <c r="C38" s="61" t="s">
        <v>76</v>
      </c>
      <c r="D38" s="2"/>
      <c r="E38" s="2"/>
      <c r="F38" s="55">
        <f>SUMIF(Cashflows!$D$2:$BL$2,Proforma!F$4,Cashflows!$D37:$BL37)</f>
        <v>0</v>
      </c>
      <c r="G38" s="55">
        <f>SUMIF(Cashflows!$D$2:$BL$2,Proforma!G$4,Cashflows!$D37:$BL37)</f>
        <v>0</v>
      </c>
      <c r="H38" s="55">
        <f>SUMIF(Cashflows!$D$2:$BL$2,Proforma!H$4,Cashflows!$D37:$BL37)</f>
        <v>-1750</v>
      </c>
      <c r="I38" s="55">
        <f>SUMIF(Cashflows!$D$2:$BL$2,Proforma!I$4,Cashflows!$D37:$BL37)</f>
        <v>0</v>
      </c>
      <c r="J38" s="55">
        <f>SUMIF(Cashflows!$D$2:$BL$2,Proforma!J$4,Cashflows!$D37:$BL37)</f>
        <v>0</v>
      </c>
      <c r="K38" s="2"/>
      <c r="L38" s="2"/>
      <c r="M38" s="10"/>
    </row>
    <row r="39" spans="2:13" x14ac:dyDescent="0.2">
      <c r="B39" s="9"/>
      <c r="C39" s="61" t="s">
        <v>99</v>
      </c>
      <c r="D39" s="2"/>
      <c r="E39" s="2"/>
      <c r="F39" s="55">
        <f>SUMIF(Cashflows!$D$2:$BL$2,Proforma!F$4,Cashflows!$D38:$BL38)</f>
        <v>0</v>
      </c>
      <c r="G39" s="55">
        <f>SUMIF(Cashflows!$D$2:$BL$2,Proforma!G$4,Cashflows!$D38:$BL38)</f>
        <v>0</v>
      </c>
      <c r="H39" s="55">
        <f>SUMIF(Cashflows!$D$2:$BL$2,Proforma!H$4,Cashflows!$D38:$BL38)</f>
        <v>-75228.33254017045</v>
      </c>
      <c r="I39" s="55">
        <f>SUMIF(Cashflows!$D$2:$BL$2,Proforma!I$4,Cashflows!$D38:$BL38)</f>
        <v>0</v>
      </c>
      <c r="J39" s="55">
        <f>SUMIF(Cashflows!$D$2:$BL$2,Proforma!J$4,Cashflows!$D38:$BL38)</f>
        <v>0</v>
      </c>
      <c r="K39" s="2"/>
      <c r="L39" s="2"/>
      <c r="M39" s="10"/>
    </row>
    <row r="40" spans="2:13" x14ac:dyDescent="0.2">
      <c r="B40" s="9"/>
      <c r="C40" s="65" t="s">
        <v>100</v>
      </c>
      <c r="D40" s="2"/>
      <c r="E40" s="2"/>
      <c r="F40" s="57">
        <f>SUM(F36:F39)</f>
        <v>0</v>
      </c>
      <c r="G40" s="57">
        <f t="shared" ref="G40:J40" si="5">SUM(G36:G39)</f>
        <v>0</v>
      </c>
      <c r="H40" s="57">
        <f t="shared" si="5"/>
        <v>91021.66745982955</v>
      </c>
      <c r="I40" s="57">
        <f t="shared" si="5"/>
        <v>0</v>
      </c>
      <c r="J40" s="57">
        <f t="shared" si="5"/>
        <v>0</v>
      </c>
      <c r="K40" s="2"/>
      <c r="L40" s="2"/>
      <c r="M40" s="10"/>
    </row>
    <row r="41" spans="2:13" x14ac:dyDescent="0.2">
      <c r="B41" s="9"/>
      <c r="C41" s="2"/>
      <c r="D41" s="2"/>
      <c r="E41" s="2"/>
      <c r="F41" s="2"/>
      <c r="G41" s="2"/>
      <c r="H41" s="2"/>
      <c r="I41" s="2"/>
      <c r="J41" s="2"/>
      <c r="K41" s="2"/>
      <c r="L41" s="2"/>
      <c r="M41" s="10"/>
    </row>
    <row r="42" spans="2:13" ht="16" thickBot="1" x14ac:dyDescent="0.25">
      <c r="B42" s="12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4"/>
    </row>
    <row r="43" spans="2:13" ht="16" thickTop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Overview</vt:lpstr>
      <vt:lpstr>Inputs &amp; Summary</vt:lpstr>
      <vt:lpstr>Cashflows</vt:lpstr>
      <vt:lpstr>Proforma</vt:lpstr>
    </vt:vector>
  </TitlesOfParts>
  <Company>MapleTree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ANDREWS</dc:creator>
  <cp:lastModifiedBy>CKA</cp:lastModifiedBy>
  <dcterms:created xsi:type="dcterms:W3CDTF">2019-03-24T18:44:00Z</dcterms:created>
  <dcterms:modified xsi:type="dcterms:W3CDTF">2019-04-13T12:41:20Z</dcterms:modified>
</cp:coreProperties>
</file>