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_Documents\Models\Others\ACRE\Finished\2. Multifamily\"/>
    </mc:Choice>
  </mc:AlternateContent>
  <bookViews>
    <workbookView xWindow="0" yWindow="0" windowWidth="28800" windowHeight="12432"/>
  </bookViews>
  <sheets>
    <sheet name="Overview" sheetId="2" r:id="rId1"/>
    <sheet name="Cash flows" sheetId="1" r:id="rId2"/>
  </sheets>
  <definedNames>
    <definedName name="Months">'Cash flows'!$D$7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H3" i="1" l="1"/>
  <c r="H6" i="1" l="1"/>
  <c r="E63" i="1"/>
  <c r="F63" i="1" s="1"/>
  <c r="G63" i="1" s="1"/>
  <c r="H63" i="1" s="1"/>
  <c r="I63" i="1" s="1"/>
  <c r="J63" i="1" s="1"/>
  <c r="K63" i="1" s="1"/>
  <c r="L63" i="1" s="1"/>
  <c r="M63" i="1" s="1"/>
  <c r="N63" i="1" s="1"/>
  <c r="O63" i="1" s="1"/>
  <c r="D52" i="1" l="1"/>
  <c r="D42" i="1"/>
  <c r="D51" i="1" s="1"/>
  <c r="E41" i="1"/>
  <c r="F41" i="1" s="1"/>
  <c r="G41" i="1" s="1"/>
  <c r="H41" i="1" s="1"/>
  <c r="I41" i="1" s="1"/>
  <c r="J41" i="1" s="1"/>
  <c r="K41" i="1" s="1"/>
  <c r="L41" i="1" s="1"/>
  <c r="M41" i="1" s="1"/>
  <c r="N41" i="1" s="1"/>
  <c r="O41" i="1" s="1"/>
  <c r="E36" i="1"/>
  <c r="E37" i="1" s="1"/>
  <c r="F30" i="1"/>
  <c r="F26" i="1"/>
  <c r="F25" i="1"/>
  <c r="F24" i="1"/>
  <c r="F23" i="1"/>
  <c r="F22" i="1"/>
  <c r="F21" i="1"/>
  <c r="E27" i="1"/>
  <c r="G20" i="1"/>
  <c r="H20" i="1" s="1"/>
  <c r="I20" i="1" s="1"/>
  <c r="J20" i="1" s="1"/>
  <c r="K20" i="1" s="1"/>
  <c r="L20" i="1" s="1"/>
  <c r="M20" i="1" s="1"/>
  <c r="N20" i="1" s="1"/>
  <c r="O20" i="1" s="1"/>
  <c r="F13" i="1"/>
  <c r="G13" i="1" s="1"/>
  <c r="H13" i="1" s="1"/>
  <c r="F12" i="1"/>
  <c r="G12" i="1" s="1"/>
  <c r="H12" i="1" s="1"/>
  <c r="I10" i="1"/>
  <c r="J10" i="1" s="1"/>
  <c r="K10" i="1" s="1"/>
  <c r="L10" i="1" s="1"/>
  <c r="M10" i="1" s="1"/>
  <c r="N10" i="1" s="1"/>
  <c r="O10" i="1" s="1"/>
  <c r="F9" i="1"/>
  <c r="G9" i="1" s="1"/>
  <c r="H9" i="1" s="1"/>
  <c r="I9" i="1" s="1"/>
  <c r="J9" i="1" s="1"/>
  <c r="K9" i="1" s="1"/>
  <c r="L9" i="1" s="1"/>
  <c r="M9" i="1" s="1"/>
  <c r="N9" i="1" s="1"/>
  <c r="O9" i="1" s="1"/>
  <c r="L7" i="1"/>
  <c r="E11" i="1" s="1"/>
  <c r="K7" i="1"/>
  <c r="D4" i="1" s="1"/>
  <c r="G21" i="1" l="1"/>
  <c r="G25" i="1"/>
  <c r="H25" i="1" s="1"/>
  <c r="I25" i="1" s="1"/>
  <c r="J25" i="1" s="1"/>
  <c r="K25" i="1" s="1"/>
  <c r="L25" i="1" s="1"/>
  <c r="M25" i="1" s="1"/>
  <c r="N25" i="1" s="1"/>
  <c r="O25" i="1" s="1"/>
  <c r="G24" i="1"/>
  <c r="H24" i="1" s="1"/>
  <c r="I24" i="1" s="1"/>
  <c r="J24" i="1" s="1"/>
  <c r="K24" i="1" s="1"/>
  <c r="L24" i="1" s="1"/>
  <c r="M24" i="1" s="1"/>
  <c r="N24" i="1" s="1"/>
  <c r="O24" i="1" s="1"/>
  <c r="G23" i="1"/>
  <c r="H23" i="1" s="1"/>
  <c r="I23" i="1" s="1"/>
  <c r="J23" i="1" s="1"/>
  <c r="K23" i="1" s="1"/>
  <c r="L23" i="1" s="1"/>
  <c r="M23" i="1" s="1"/>
  <c r="N23" i="1" s="1"/>
  <c r="O23" i="1" s="1"/>
  <c r="G30" i="1"/>
  <c r="H30" i="1"/>
  <c r="I30" i="1" s="1"/>
  <c r="J30" i="1" s="1"/>
  <c r="K30" i="1" s="1"/>
  <c r="L30" i="1" s="1"/>
  <c r="M30" i="1" s="1"/>
  <c r="N30" i="1" s="1"/>
  <c r="O30" i="1" s="1"/>
  <c r="I12" i="1"/>
  <c r="J12" i="1" s="1"/>
  <c r="K12" i="1" s="1"/>
  <c r="L12" i="1" s="1"/>
  <c r="M12" i="1" s="1"/>
  <c r="N12" i="1" s="1"/>
  <c r="O12" i="1" s="1"/>
  <c r="I13" i="1"/>
  <c r="J13" i="1" s="1"/>
  <c r="K13" i="1" s="1"/>
  <c r="L13" i="1" s="1"/>
  <c r="M13" i="1" s="1"/>
  <c r="N13" i="1" s="1"/>
  <c r="O13" i="1" s="1"/>
  <c r="G22" i="1"/>
  <c r="H22" i="1" s="1"/>
  <c r="I22" i="1" s="1"/>
  <c r="J22" i="1" s="1"/>
  <c r="K22" i="1" s="1"/>
  <c r="L22" i="1" s="1"/>
  <c r="M22" i="1" s="1"/>
  <c r="N22" i="1" s="1"/>
  <c r="O22" i="1" s="1"/>
  <c r="G26" i="1"/>
  <c r="H26" i="1" s="1"/>
  <c r="I26" i="1" s="1"/>
  <c r="J26" i="1" s="1"/>
  <c r="K26" i="1" s="1"/>
  <c r="L26" i="1" s="1"/>
  <c r="M26" i="1" s="1"/>
  <c r="N26" i="1" s="1"/>
  <c r="O26" i="1" s="1"/>
  <c r="F36" i="1"/>
  <c r="G36" i="1" s="1"/>
  <c r="H36" i="1" s="1"/>
  <c r="I36" i="1" s="1"/>
  <c r="J36" i="1" s="1"/>
  <c r="K36" i="1" s="1"/>
  <c r="D46" i="1"/>
  <c r="F33" i="1"/>
  <c r="J33" i="1"/>
  <c r="N33" i="1"/>
  <c r="G33" i="1"/>
  <c r="K33" i="1"/>
  <c r="O33" i="1"/>
  <c r="H33" i="1"/>
  <c r="L33" i="1"/>
  <c r="D57" i="1"/>
  <c r="E33" i="1"/>
  <c r="I33" i="1"/>
  <c r="M33" i="1"/>
  <c r="E14" i="1"/>
  <c r="E17" i="1" s="1"/>
  <c r="E18" i="1" s="1"/>
  <c r="E29" i="1" s="1"/>
  <c r="E39" i="1" s="1"/>
  <c r="F11" i="1"/>
  <c r="G11" i="1" s="1"/>
  <c r="H11" i="1" s="1"/>
  <c r="I11" i="1" s="1"/>
  <c r="J11" i="1" s="1"/>
  <c r="K11" i="1" s="1"/>
  <c r="L11" i="1" s="1"/>
  <c r="M11" i="1" s="1"/>
  <c r="N11" i="1" s="1"/>
  <c r="O11" i="1" s="1"/>
  <c r="F27" i="1"/>
  <c r="H21" i="1"/>
  <c r="J37" i="1" l="1"/>
  <c r="G27" i="1"/>
  <c r="L36" i="1"/>
  <c r="K37" i="1"/>
  <c r="F37" i="1"/>
  <c r="I37" i="1"/>
  <c r="G37" i="1"/>
  <c r="H37" i="1"/>
  <c r="G14" i="1"/>
  <c r="G17" i="1" s="1"/>
  <c r="G18" i="1" s="1"/>
  <c r="F14" i="1"/>
  <c r="F17" i="1" s="1"/>
  <c r="F18" i="1" s="1"/>
  <c r="F29" i="1" s="1"/>
  <c r="H14" i="1"/>
  <c r="H17" i="1" s="1"/>
  <c r="H18" i="1" s="1"/>
  <c r="E31" i="1"/>
  <c r="E38" i="1"/>
  <c r="I21" i="1"/>
  <c r="H27" i="1"/>
  <c r="I14" i="1"/>
  <c r="I17" i="1" s="1"/>
  <c r="I18" i="1" s="1"/>
  <c r="G29" i="1" l="1"/>
  <c r="G39" i="1" s="1"/>
  <c r="H29" i="1"/>
  <c r="H39" i="1" s="1"/>
  <c r="F39" i="1"/>
  <c r="M36" i="1"/>
  <c r="L37" i="1"/>
  <c r="F38" i="1"/>
  <c r="F31" i="1"/>
  <c r="F43" i="1" s="1"/>
  <c r="F46" i="1" s="1"/>
  <c r="G38" i="1"/>
  <c r="E34" i="1"/>
  <c r="E53" i="1" s="1"/>
  <c r="E58" i="1" s="1"/>
  <c r="E43" i="1"/>
  <c r="E46" i="1" s="1"/>
  <c r="I27" i="1"/>
  <c r="I29" i="1" s="1"/>
  <c r="J21" i="1"/>
  <c r="J14" i="1"/>
  <c r="J17" i="1" s="1"/>
  <c r="J18" i="1" s="1"/>
  <c r="G31" i="1" l="1"/>
  <c r="H38" i="1"/>
  <c r="H31" i="1"/>
  <c r="F34" i="1"/>
  <c r="F53" i="1" s="1"/>
  <c r="F58" i="1" s="1"/>
  <c r="N36" i="1"/>
  <c r="M37" i="1"/>
  <c r="I31" i="1"/>
  <c r="I34" i="1" s="1"/>
  <c r="I53" i="1" s="1"/>
  <c r="I38" i="1"/>
  <c r="I39" i="1"/>
  <c r="F64" i="1"/>
  <c r="F65" i="1" s="1"/>
  <c r="F47" i="1"/>
  <c r="E57" i="1"/>
  <c r="G43" i="1"/>
  <c r="G46" i="1" s="1"/>
  <c r="G34" i="1"/>
  <c r="G53" i="1" s="1"/>
  <c r="H34" i="1"/>
  <c r="H53" i="1" s="1"/>
  <c r="H43" i="1"/>
  <c r="H46" i="1" s="1"/>
  <c r="E64" i="1"/>
  <c r="E65" i="1" s="1"/>
  <c r="E47" i="1"/>
  <c r="J27" i="1"/>
  <c r="J29" i="1" s="1"/>
  <c r="K21" i="1"/>
  <c r="K14" i="1"/>
  <c r="F57" i="1" l="1"/>
  <c r="O36" i="1"/>
  <c r="O37" i="1" s="1"/>
  <c r="N37" i="1"/>
  <c r="N55" i="1" s="1"/>
  <c r="I43" i="1"/>
  <c r="I46" i="1" s="1"/>
  <c r="J38" i="1"/>
  <c r="J31" i="1"/>
  <c r="J43" i="1" s="1"/>
  <c r="J39" i="1"/>
  <c r="H57" i="1"/>
  <c r="H58" i="1"/>
  <c r="G57" i="1"/>
  <c r="G58" i="1"/>
  <c r="G64" i="1"/>
  <c r="G65" i="1" s="1"/>
  <c r="G47" i="1"/>
  <c r="I58" i="1"/>
  <c r="I57" i="1"/>
  <c r="H64" i="1"/>
  <c r="H65" i="1" s="1"/>
  <c r="H47" i="1"/>
  <c r="K17" i="1"/>
  <c r="K18" i="1" s="1"/>
  <c r="K27" i="1"/>
  <c r="L21" i="1"/>
  <c r="L14" i="1"/>
  <c r="I47" i="1" l="1"/>
  <c r="I64" i="1"/>
  <c r="I65" i="1" s="1"/>
  <c r="J34" i="1"/>
  <c r="J53" i="1" s="1"/>
  <c r="J57" i="1" s="1"/>
  <c r="K29" i="1"/>
  <c r="K38" i="1" s="1"/>
  <c r="J64" i="1"/>
  <c r="J65" i="1" s="1"/>
  <c r="J46" i="1"/>
  <c r="J47" i="1"/>
  <c r="L17" i="1"/>
  <c r="L18" i="1" s="1"/>
  <c r="M21" i="1"/>
  <c r="L27" i="1"/>
  <c r="M14" i="1"/>
  <c r="M17" i="1" s="1"/>
  <c r="M18" i="1" s="1"/>
  <c r="K31" i="1" l="1"/>
  <c r="K34" i="1" s="1"/>
  <c r="K53" i="1" s="1"/>
  <c r="J58" i="1"/>
  <c r="K39" i="1"/>
  <c r="L29" i="1"/>
  <c r="L39" i="1" s="1"/>
  <c r="K43" i="1"/>
  <c r="M27" i="1"/>
  <c r="M29" i="1" s="1"/>
  <c r="N21" i="1"/>
  <c r="O14" i="1"/>
  <c r="N14" i="1"/>
  <c r="N17" i="1" s="1"/>
  <c r="N18" i="1" s="1"/>
  <c r="L38" i="1" l="1"/>
  <c r="L31" i="1"/>
  <c r="L34" i="1" s="1"/>
  <c r="L53" i="1" s="1"/>
  <c r="M39" i="1"/>
  <c r="M31" i="1"/>
  <c r="M34" i="1" s="1"/>
  <c r="M53" i="1" s="1"/>
  <c r="M38" i="1"/>
  <c r="K57" i="1"/>
  <c r="K58" i="1"/>
  <c r="K64" i="1"/>
  <c r="K65" i="1" s="1"/>
  <c r="K47" i="1"/>
  <c r="K46" i="1"/>
  <c r="O17" i="1"/>
  <c r="O18" i="1" s="1"/>
  <c r="N27" i="1"/>
  <c r="N29" i="1" s="1"/>
  <c r="N38" i="1" s="1"/>
  <c r="O21" i="1"/>
  <c r="O27" i="1" s="1"/>
  <c r="L43" i="1" l="1"/>
  <c r="L47" i="1" s="1"/>
  <c r="M43" i="1"/>
  <c r="M47" i="1" s="1"/>
  <c r="N31" i="1"/>
  <c r="N43" i="1" s="1"/>
  <c r="N39" i="1"/>
  <c r="O29" i="1"/>
  <c r="N44" i="1" s="1"/>
  <c r="M58" i="1"/>
  <c r="M57" i="1"/>
  <c r="L57" i="1"/>
  <c r="L58" i="1"/>
  <c r="L64" i="1"/>
  <c r="L65" i="1" s="1"/>
  <c r="L46" i="1"/>
  <c r="M64" i="1" l="1"/>
  <c r="M65" i="1" s="1"/>
  <c r="M46" i="1"/>
  <c r="N34" i="1"/>
  <c r="N53" i="1" s="1"/>
  <c r="N58" i="1" s="1"/>
  <c r="D58" i="1" s="1"/>
  <c r="O38" i="1"/>
  <c r="O39" i="1"/>
  <c r="O31" i="1"/>
  <c r="O43" i="1" s="1"/>
  <c r="N47" i="1"/>
  <c r="D47" i="1" s="1"/>
  <c r="N45" i="1"/>
  <c r="N54" i="1"/>
  <c r="O34" i="1" l="1"/>
  <c r="N46" i="1"/>
  <c r="D48" i="1" s="1"/>
  <c r="N56" i="1"/>
  <c r="N57" i="1" s="1"/>
  <c r="N64" i="1"/>
  <c r="N65" i="1" s="1"/>
  <c r="C66" i="1" s="1"/>
  <c r="F67" i="1" l="1"/>
  <c r="E67" i="1"/>
  <c r="H67" i="1"/>
  <c r="G67" i="1"/>
  <c r="I67" i="1"/>
  <c r="J67" i="1"/>
  <c r="K67" i="1"/>
  <c r="L67" i="1"/>
  <c r="N67" i="1"/>
  <c r="M67" i="1"/>
  <c r="D60" i="1"/>
  <c r="D59" i="1"/>
  <c r="D49" i="1"/>
</calcChain>
</file>

<file path=xl/sharedStrings.xml><?xml version="1.0" encoding="utf-8"?>
<sst xmlns="http://schemas.openxmlformats.org/spreadsheetml/2006/main" count="80" uniqueCount="72">
  <si>
    <t>Assumption</t>
  </si>
  <si>
    <t>Property:</t>
  </si>
  <si>
    <t>Number of Units:</t>
  </si>
  <si>
    <t>Purchase Price:</t>
  </si>
  <si>
    <t>Springfield Meadows</t>
  </si>
  <si>
    <t>Debt</t>
  </si>
  <si>
    <t>Interest Rate:</t>
  </si>
  <si>
    <t>Amortization:</t>
  </si>
  <si>
    <t>Monthly Payment:</t>
  </si>
  <si>
    <t>Loan Amount:</t>
  </si>
  <si>
    <t>Rent Roll</t>
  </si>
  <si>
    <t>Type</t>
  </si>
  <si>
    <t>No. Units</t>
  </si>
  <si>
    <t>Studio</t>
  </si>
  <si>
    <t>2bdrm</t>
  </si>
  <si>
    <t>1bdrm</t>
  </si>
  <si>
    <t>Total</t>
  </si>
  <si>
    <t>Monthly Rent</t>
  </si>
  <si>
    <t>Selling Costs:</t>
  </si>
  <si>
    <t>Terminal Cap Rate:</t>
  </si>
  <si>
    <t>Residual Value</t>
  </si>
  <si>
    <t>Income</t>
  </si>
  <si>
    <t>Rent</t>
  </si>
  <si>
    <t>Other</t>
  </si>
  <si>
    <t>Recoveries</t>
  </si>
  <si>
    <t>Potential Gross Income</t>
  </si>
  <si>
    <t>Inflation</t>
  </si>
  <si>
    <t>Vacancy</t>
  </si>
  <si>
    <t>Effective Gross Income</t>
  </si>
  <si>
    <t>Expenses</t>
  </si>
  <si>
    <t>Marketing</t>
  </si>
  <si>
    <t>Payroll</t>
  </si>
  <si>
    <t>Repairs &amp; Maintenance</t>
  </si>
  <si>
    <t>Management</t>
  </si>
  <si>
    <t>Insurance</t>
  </si>
  <si>
    <t>Property Tax</t>
  </si>
  <si>
    <t>Net Operating Income</t>
  </si>
  <si>
    <t>CapEx</t>
  </si>
  <si>
    <t>Cash Flow from Operations</t>
  </si>
  <si>
    <t>Debt Service</t>
  </si>
  <si>
    <t>Before Tax Cash Flow</t>
  </si>
  <si>
    <t>Risk</t>
  </si>
  <si>
    <t>DSCR</t>
  </si>
  <si>
    <t>Debt Yield</t>
  </si>
  <si>
    <t>Returns</t>
  </si>
  <si>
    <t>Purchase</t>
  </si>
  <si>
    <t>Sale</t>
  </si>
  <si>
    <t>Selling Costs</t>
  </si>
  <si>
    <t>Total Unlevered Cash Flow</t>
  </si>
  <si>
    <t>Return (Free and Clear)</t>
  </si>
  <si>
    <t>Unlevered IRR</t>
  </si>
  <si>
    <t>Loan</t>
  </si>
  <si>
    <t>Loan Repayment</t>
  </si>
  <si>
    <t>Total Levered Cash Flow</t>
  </si>
  <si>
    <t>Cash-on-Cash Return</t>
  </si>
  <si>
    <t>Levered IRR</t>
  </si>
  <si>
    <t>Levered Equity Multiple</t>
  </si>
  <si>
    <t>Operating Expenses</t>
  </si>
  <si>
    <t>Discounted Returns</t>
  </si>
  <si>
    <t>Months:</t>
  </si>
  <si>
    <t>Required Return:</t>
  </si>
  <si>
    <t>Present Value:</t>
  </si>
  <si>
    <t>Unlevered Cash on Cash Return</t>
  </si>
  <si>
    <t>Required Unlevered Returns:</t>
  </si>
  <si>
    <t>Created by Cameron Andrews</t>
  </si>
  <si>
    <t>www.LotusGlobalAssets.com</t>
  </si>
  <si>
    <t>This model helps quickly analyse the value and corresponding returns of a multifamily investment property.</t>
  </si>
  <si>
    <t>Unlevered Equity Multiple (Project Multiple)</t>
  </si>
  <si>
    <t>Loan Balance (End of Year)</t>
  </si>
  <si>
    <t>- includes elements of risk (DSCR, debt yield, outstanding loan balance)</t>
  </si>
  <si>
    <t>- levered and unlevered returns analysis</t>
  </si>
  <si>
    <t>- and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</si>
</sst>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_);[Red]\(&quot;$&quot;#,##0\)"/>
    <numFmt numFmtId="165" formatCode="0.0%"/>
    <numFmt numFmtId="166" formatCode="General\ &quot;months&quot;"/>
    <numFmt numFmtId="167" formatCode="&quot;Year&quot;\ General"/>
    <numFmt numFmtId="168" formatCode="0.00\x"/>
    <numFmt numFmtId="169" formatCode="#,##0;\(#,##0\);\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165" fontId="3" fillId="0" borderId="0" xfId="0" applyNumberFormat="1" applyFont="1" applyFill="1"/>
    <xf numFmtId="166" fontId="4" fillId="0" borderId="0" xfId="0" applyNumberFormat="1" applyFont="1"/>
    <xf numFmtId="0" fontId="4" fillId="0" borderId="0" xfId="0" applyFont="1"/>
    <xf numFmtId="0" fontId="0" fillId="0" borderId="0" xfId="0" applyAlignment="1">
      <alignment horizontal="left" indent="1"/>
    </xf>
    <xf numFmtId="0" fontId="5" fillId="0" borderId="0" xfId="0" applyFont="1"/>
    <xf numFmtId="167" fontId="0" fillId="0" borderId="0" xfId="0" applyNumberFormat="1" applyAlignment="1">
      <alignment horizontal="center"/>
    </xf>
    <xf numFmtId="165" fontId="6" fillId="0" borderId="0" xfId="0" applyNumberFormat="1" applyFont="1" applyFill="1"/>
    <xf numFmtId="164" fontId="2" fillId="0" borderId="0" xfId="0" applyNumberFormat="1" applyFont="1"/>
    <xf numFmtId="0" fontId="0" fillId="0" borderId="0" xfId="0" applyAlignment="1">
      <alignment horizontal="left"/>
    </xf>
    <xf numFmtId="168" fontId="0" fillId="0" borderId="0" xfId="0" applyNumberFormat="1"/>
    <xf numFmtId="10" fontId="0" fillId="0" borderId="0" xfId="1" applyNumberFormat="1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 indent="1"/>
    </xf>
    <xf numFmtId="0" fontId="0" fillId="0" borderId="1" xfId="0" applyBorder="1"/>
    <xf numFmtId="164" fontId="0" fillId="0" borderId="1" xfId="0" applyNumberFormat="1" applyBorder="1"/>
    <xf numFmtId="10" fontId="2" fillId="0" borderId="0" xfId="0" applyNumberFormat="1" applyFont="1"/>
    <xf numFmtId="168" fontId="2" fillId="0" borderId="0" xfId="0" applyNumberFormat="1" applyFont="1"/>
    <xf numFmtId="164" fontId="0" fillId="0" borderId="0" xfId="0" applyNumberFormat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4" fillId="0" borderId="0" xfId="0" applyNumberFormat="1" applyFont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8" fillId="0" borderId="5" xfId="2" applyFont="1" applyBorder="1"/>
    <xf numFmtId="169" fontId="4" fillId="0" borderId="0" xfId="0" applyNumberFormat="1" applyFont="1" applyFill="1" applyBorder="1" applyAlignment="1">
      <alignment horizontal="right"/>
    </xf>
    <xf numFmtId="169" fontId="9" fillId="0" borderId="0" xfId="0" applyNumberFormat="1" applyFont="1" applyFill="1" applyBorder="1"/>
    <xf numFmtId="169" fontId="9" fillId="0" borderId="1" xfId="0" applyNumberFormat="1" applyFont="1" applyFill="1" applyBorder="1"/>
    <xf numFmtId="169" fontId="10" fillId="0" borderId="1" xfId="0" applyNumberFormat="1" applyFont="1" applyFill="1" applyBorder="1"/>
    <xf numFmtId="169" fontId="10" fillId="0" borderId="0" xfId="0" applyNumberFormat="1" applyFont="1" applyFill="1" applyBorder="1"/>
    <xf numFmtId="0" fontId="9" fillId="0" borderId="0" xfId="0" applyFont="1" applyAlignment="1">
      <alignment horizontal="left" indent="1"/>
    </xf>
    <xf numFmtId="0" fontId="3" fillId="0" borderId="0" xfId="0" applyFont="1" applyFill="1" applyAlignment="1">
      <alignment horizontal="right"/>
    </xf>
    <xf numFmtId="169" fontId="0" fillId="0" borderId="0" xfId="0" applyNumberFormat="1"/>
    <xf numFmtId="10" fontId="3" fillId="0" borderId="0" xfId="0" applyNumberFormat="1" applyFont="1" applyFill="1"/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quotePrefix="1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12095</xdr:colOff>
      <xdr:row>1</xdr:row>
      <xdr:rowOff>36286</xdr:rowOff>
    </xdr:from>
    <xdr:to>
      <xdr:col>1</xdr:col>
      <xdr:colOff>537767</xdr:colOff>
      <xdr:row>3</xdr:row>
      <xdr:rowOff>146236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1" y="84667"/>
          <a:ext cx="525672" cy="472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lotusglobalasset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14"/>
  <sheetViews>
    <sheetView showGridLines="0" tabSelected="1" zoomScale="94" zoomScaleNormal="130" workbookViewId="0">
      <selection activeCell="B8" sqref="B8:J8"/>
    </sheetView>
  </sheetViews>
  <sheetFormatPr defaultColWidth="0" defaultRowHeight="14.4" zeroHeight="1" x14ac:dyDescent="0.3"/>
  <cols>
    <col min="1" max="1" width="0.5546875" customWidth="1"/>
    <col min="2" max="10" width="8.88671875" customWidth="1"/>
    <col min="11" max="16383" width="8.88671875" hidden="1"/>
    <col min="16384" max="16384" width="0.77734375" customWidth="1"/>
  </cols>
  <sheetData>
    <row r="1" spans="2:10" ht="4.2" customHeight="1" thickBot="1" x14ac:dyDescent="0.35"/>
    <row r="2" spans="2:10" x14ac:dyDescent="0.3">
      <c r="B2" s="25"/>
      <c r="C2" s="26"/>
      <c r="D2" s="26"/>
      <c r="E2" s="26"/>
      <c r="F2" s="26"/>
      <c r="G2" s="26"/>
      <c r="H2" s="26"/>
      <c r="I2" s="26"/>
      <c r="J2" s="27"/>
    </row>
    <row r="3" spans="2:10" x14ac:dyDescent="0.3">
      <c r="B3" s="28"/>
      <c r="C3" s="24"/>
      <c r="D3" s="24"/>
      <c r="E3" s="24"/>
      <c r="F3" s="24"/>
      <c r="G3" s="24"/>
      <c r="H3" s="24"/>
      <c r="I3" s="24"/>
      <c r="J3" s="29"/>
    </row>
    <row r="4" spans="2:10" x14ac:dyDescent="0.3">
      <c r="B4" s="28"/>
      <c r="C4" s="24"/>
      <c r="D4" s="24"/>
      <c r="E4" s="24"/>
      <c r="F4" s="24"/>
      <c r="G4" s="24"/>
      <c r="H4" s="24"/>
      <c r="I4" s="24"/>
      <c r="J4" s="29"/>
    </row>
    <row r="5" spans="2:10" x14ac:dyDescent="0.3">
      <c r="B5" s="28" t="s">
        <v>64</v>
      </c>
      <c r="C5" s="24"/>
      <c r="D5" s="24"/>
      <c r="E5" s="24"/>
      <c r="F5" s="24"/>
      <c r="G5" s="24"/>
      <c r="H5" s="24"/>
      <c r="I5" s="24"/>
      <c r="J5" s="29"/>
    </row>
    <row r="6" spans="2:10" x14ac:dyDescent="0.3">
      <c r="B6" s="33" t="s">
        <v>65</v>
      </c>
      <c r="C6" s="24"/>
      <c r="D6" s="24"/>
      <c r="E6" s="24"/>
      <c r="F6" s="24"/>
      <c r="G6" s="24"/>
      <c r="H6" s="24"/>
      <c r="I6" s="24"/>
      <c r="J6" s="29"/>
    </row>
    <row r="7" spans="2:10" x14ac:dyDescent="0.3">
      <c r="B7" s="28"/>
      <c r="C7" s="24"/>
      <c r="D7" s="24"/>
      <c r="E7" s="24"/>
      <c r="F7" s="24"/>
      <c r="G7" s="24"/>
      <c r="H7" s="24"/>
      <c r="I7" s="24"/>
      <c r="J7" s="29"/>
    </row>
    <row r="8" spans="2:10" ht="28.8" customHeight="1" x14ac:dyDescent="0.3">
      <c r="B8" s="43" t="s">
        <v>66</v>
      </c>
      <c r="C8" s="44"/>
      <c r="D8" s="44"/>
      <c r="E8" s="44"/>
      <c r="F8" s="44"/>
      <c r="G8" s="44"/>
      <c r="H8" s="44"/>
      <c r="I8" s="44"/>
      <c r="J8" s="45"/>
    </row>
    <row r="9" spans="2:10" x14ac:dyDescent="0.3">
      <c r="B9" s="46" t="s">
        <v>69</v>
      </c>
      <c r="C9" s="24"/>
      <c r="D9" s="24"/>
      <c r="E9" s="24"/>
      <c r="F9" s="24"/>
      <c r="G9" s="24"/>
      <c r="H9" s="24"/>
      <c r="I9" s="24"/>
      <c r="J9" s="29"/>
    </row>
    <row r="10" spans="2:10" x14ac:dyDescent="0.3">
      <c r="B10" s="46" t="s">
        <v>70</v>
      </c>
      <c r="C10" s="24"/>
      <c r="D10" s="24"/>
      <c r="E10" s="24"/>
      <c r="F10" s="24"/>
      <c r="G10" s="24"/>
      <c r="H10" s="24"/>
      <c r="I10" s="24"/>
      <c r="J10" s="29"/>
    </row>
    <row r="11" spans="2:10" x14ac:dyDescent="0.3">
      <c r="B11" s="46" t="s">
        <v>71</v>
      </c>
      <c r="C11" s="24"/>
      <c r="D11" s="24"/>
      <c r="E11" s="24"/>
      <c r="F11" s="24"/>
      <c r="G11" s="24"/>
      <c r="H11" s="24"/>
      <c r="I11" s="24"/>
      <c r="J11" s="29"/>
    </row>
    <row r="12" spans="2:10" x14ac:dyDescent="0.3">
      <c r="B12" s="28"/>
      <c r="C12" s="24"/>
      <c r="D12" s="24"/>
      <c r="E12" s="24"/>
      <c r="F12" s="24"/>
      <c r="G12" s="24"/>
      <c r="H12" s="24"/>
      <c r="I12" s="24"/>
      <c r="J12" s="29"/>
    </row>
    <row r="13" spans="2:10" x14ac:dyDescent="0.3">
      <c r="B13" s="28"/>
      <c r="C13" s="24"/>
      <c r="D13" s="24"/>
      <c r="E13" s="24"/>
      <c r="F13" s="24"/>
      <c r="G13" s="24"/>
      <c r="H13" s="24"/>
      <c r="I13" s="24"/>
      <c r="J13" s="29"/>
    </row>
    <row r="14" spans="2:10" ht="15" thickBot="1" x14ac:dyDescent="0.35">
      <c r="B14" s="30"/>
      <c r="C14" s="31"/>
      <c r="D14" s="31"/>
      <c r="E14" s="31"/>
      <c r="F14" s="31"/>
      <c r="G14" s="31"/>
      <c r="H14" s="31"/>
      <c r="I14" s="31"/>
      <c r="J14" s="32"/>
    </row>
  </sheetData>
  <sheetProtection algorithmName="SHA-512" hashValue="2bcIDPqL0NT3qRWv4XuVVDyZA5dAaq0WbmUvryAFmJ+St+9hPWvv0UhI4UXHqiy5aQ8SnpWPYm49Cj94HQaHEw==" saltValue="TvIc+t6OTwaBOXM6B3F0rw==" spinCount="100000" sheet="1" objects="1" scenarios="1"/>
  <mergeCells count="1">
    <mergeCell ref="B8:J8"/>
  </mergeCells>
  <hyperlinks>
    <hyperlink ref="B6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7"/>
  <sheetViews>
    <sheetView showGridLines="0" zoomScaleNormal="100" workbookViewId="0">
      <selection activeCell="B11" sqref="B11"/>
    </sheetView>
  </sheetViews>
  <sheetFormatPr defaultRowHeight="14.4" x14ac:dyDescent="0.3"/>
  <cols>
    <col min="2" max="2" width="24.5546875" bestFit="1" customWidth="1"/>
    <col min="3" max="3" width="22.21875" bestFit="1" customWidth="1"/>
    <col min="4" max="4" width="13.88671875" customWidth="1"/>
    <col min="5" max="5" width="12.21875" bestFit="1" customWidth="1"/>
    <col min="6" max="6" width="16.88671875" bestFit="1" customWidth="1"/>
    <col min="7" max="11" width="12.21875" bestFit="1" customWidth="1"/>
    <col min="12" max="12" width="12.6640625" bestFit="1" customWidth="1"/>
    <col min="13" max="13" width="12.21875" bestFit="1" customWidth="1"/>
    <col min="14" max="14" width="17.5546875" bestFit="1" customWidth="1"/>
    <col min="15" max="15" width="12.21875" bestFit="1" customWidth="1"/>
  </cols>
  <sheetData>
    <row r="2" spans="2:16" x14ac:dyDescent="0.3">
      <c r="B2" s="1" t="s">
        <v>0</v>
      </c>
      <c r="F2" s="1" t="s">
        <v>5</v>
      </c>
      <c r="J2" s="1" t="s">
        <v>10</v>
      </c>
      <c r="N2" s="1" t="s">
        <v>20</v>
      </c>
    </row>
    <row r="3" spans="2:16" x14ac:dyDescent="0.3">
      <c r="B3" t="s">
        <v>1</v>
      </c>
      <c r="D3" s="40" t="s">
        <v>4</v>
      </c>
      <c r="F3" t="s">
        <v>9</v>
      </c>
      <c r="H3" s="34">
        <f>0.6*D5</f>
        <v>1350000</v>
      </c>
      <c r="J3" t="s">
        <v>11</v>
      </c>
      <c r="K3" t="s">
        <v>12</v>
      </c>
      <c r="L3" t="s">
        <v>17</v>
      </c>
      <c r="N3" t="s">
        <v>19</v>
      </c>
      <c r="P3" s="42">
        <v>5.7500000000000002E-2</v>
      </c>
    </row>
    <row r="4" spans="2:16" x14ac:dyDescent="0.3">
      <c r="B4" t="s">
        <v>2</v>
      </c>
      <c r="D4">
        <f>K7</f>
        <v>25</v>
      </c>
      <c r="F4" t="s">
        <v>6</v>
      </c>
      <c r="H4" s="2">
        <v>2.5000000000000001E-2</v>
      </c>
      <c r="J4" s="4" t="s">
        <v>13</v>
      </c>
      <c r="K4" s="4">
        <v>7</v>
      </c>
      <c r="L4" s="34">
        <v>1200</v>
      </c>
      <c r="N4" t="s">
        <v>18</v>
      </c>
      <c r="P4" s="42">
        <v>1.2500000000000001E-2</v>
      </c>
    </row>
    <row r="5" spans="2:16" x14ac:dyDescent="0.3">
      <c r="B5" t="s">
        <v>3</v>
      </c>
      <c r="D5" s="34">
        <v>2250000</v>
      </c>
      <c r="F5" t="s">
        <v>7</v>
      </c>
      <c r="H5" s="3">
        <v>360</v>
      </c>
      <c r="J5" s="4" t="s">
        <v>15</v>
      </c>
      <c r="K5" s="4">
        <v>8</v>
      </c>
      <c r="L5" s="34">
        <v>1450</v>
      </c>
    </row>
    <row r="6" spans="2:16" x14ac:dyDescent="0.3">
      <c r="B6" t="s">
        <v>60</v>
      </c>
      <c r="D6" s="2">
        <v>7.0000000000000007E-2</v>
      </c>
      <c r="F6" t="s">
        <v>8</v>
      </c>
      <c r="H6" s="35">
        <f>PMT(H4/Months,H5,-H3)</f>
        <v>5334.1321340393815</v>
      </c>
      <c r="J6" s="4" t="s">
        <v>14</v>
      </c>
      <c r="K6" s="4">
        <v>10</v>
      </c>
      <c r="L6" s="34">
        <v>1750</v>
      </c>
    </row>
    <row r="7" spans="2:16" x14ac:dyDescent="0.3">
      <c r="B7" t="s">
        <v>59</v>
      </c>
      <c r="D7" s="4">
        <v>12</v>
      </c>
      <c r="J7" t="s">
        <v>16</v>
      </c>
      <c r="K7">
        <f>SUM(K4:K6)</f>
        <v>25</v>
      </c>
      <c r="L7" s="35">
        <f>SUMPRODUCT(L4:L6,K4:K6)</f>
        <v>37500</v>
      </c>
    </row>
    <row r="9" spans="2:16" x14ac:dyDescent="0.3">
      <c r="E9" s="7">
        <v>1</v>
      </c>
      <c r="F9" s="7">
        <f>E9+1</f>
        <v>2</v>
      </c>
      <c r="G9" s="7">
        <f t="shared" ref="G9:O9" si="0">F9+1</f>
        <v>3</v>
      </c>
      <c r="H9" s="7">
        <f t="shared" si="0"/>
        <v>4</v>
      </c>
      <c r="I9" s="7">
        <f t="shared" si="0"/>
        <v>5</v>
      </c>
      <c r="J9" s="7">
        <f t="shared" si="0"/>
        <v>6</v>
      </c>
      <c r="K9" s="7">
        <f t="shared" si="0"/>
        <v>7</v>
      </c>
      <c r="L9" s="7">
        <f t="shared" si="0"/>
        <v>8</v>
      </c>
      <c r="M9" s="7">
        <f t="shared" si="0"/>
        <v>9</v>
      </c>
      <c r="N9" s="7">
        <f t="shared" si="0"/>
        <v>10</v>
      </c>
      <c r="O9" s="7">
        <f t="shared" si="0"/>
        <v>11</v>
      </c>
      <c r="P9" s="7"/>
    </row>
    <row r="10" spans="2:16" x14ac:dyDescent="0.3">
      <c r="B10" t="s">
        <v>21</v>
      </c>
      <c r="D10" s="6" t="s">
        <v>26</v>
      </c>
      <c r="E10" s="8">
        <v>0</v>
      </c>
      <c r="F10" s="8">
        <v>0.04</v>
      </c>
      <c r="G10" s="8">
        <v>0.03</v>
      </c>
      <c r="H10" s="8">
        <v>0.02</v>
      </c>
      <c r="I10" s="8">
        <f>H10</f>
        <v>0.02</v>
      </c>
      <c r="J10" s="8">
        <f t="shared" ref="J10:O10" si="1">I10</f>
        <v>0.02</v>
      </c>
      <c r="K10" s="8">
        <f t="shared" si="1"/>
        <v>0.02</v>
      </c>
      <c r="L10" s="8">
        <f t="shared" si="1"/>
        <v>0.02</v>
      </c>
      <c r="M10" s="8">
        <f t="shared" si="1"/>
        <v>0.02</v>
      </c>
      <c r="N10" s="8">
        <f t="shared" si="1"/>
        <v>0.02</v>
      </c>
      <c r="O10" s="8">
        <f t="shared" si="1"/>
        <v>0.02</v>
      </c>
      <c r="P10" s="2"/>
    </row>
    <row r="11" spans="2:16" x14ac:dyDescent="0.3">
      <c r="B11" s="5" t="s">
        <v>22</v>
      </c>
      <c r="E11" s="35">
        <f>L7*Months</f>
        <v>450000</v>
      </c>
      <c r="F11" s="35">
        <f t="shared" ref="F11:O11" si="2">E11*(1+F$10)</f>
        <v>468000</v>
      </c>
      <c r="G11" s="35">
        <f t="shared" si="2"/>
        <v>482040</v>
      </c>
      <c r="H11" s="35">
        <f t="shared" si="2"/>
        <v>491680.8</v>
      </c>
      <c r="I11" s="35">
        <f t="shared" si="2"/>
        <v>501514.41599999997</v>
      </c>
      <c r="J11" s="35">
        <f t="shared" si="2"/>
        <v>511544.70431999996</v>
      </c>
      <c r="K11" s="35">
        <f t="shared" si="2"/>
        <v>521775.59840639995</v>
      </c>
      <c r="L11" s="35">
        <f t="shared" si="2"/>
        <v>532211.11037452798</v>
      </c>
      <c r="M11" s="35">
        <f t="shared" si="2"/>
        <v>542855.33258201857</v>
      </c>
      <c r="N11" s="35">
        <f t="shared" si="2"/>
        <v>553712.43923365895</v>
      </c>
      <c r="O11" s="35">
        <f t="shared" si="2"/>
        <v>564786.68801833212</v>
      </c>
    </row>
    <row r="12" spans="2:16" x14ac:dyDescent="0.3">
      <c r="B12" s="5" t="s">
        <v>23</v>
      </c>
      <c r="E12" s="34">
        <v>26460</v>
      </c>
      <c r="F12" s="35">
        <f>E12*(1+F$10)</f>
        <v>27518.400000000001</v>
      </c>
      <c r="G12" s="35">
        <f t="shared" ref="G12:O12" si="3">F12*(1+G$10)</f>
        <v>28343.952000000001</v>
      </c>
      <c r="H12" s="35">
        <f t="shared" si="3"/>
        <v>28910.831040000001</v>
      </c>
      <c r="I12" s="35">
        <f t="shared" si="3"/>
        <v>29489.047660800003</v>
      </c>
      <c r="J12" s="35">
        <f t="shared" si="3"/>
        <v>30078.828614016002</v>
      </c>
      <c r="K12" s="35">
        <f t="shared" si="3"/>
        <v>30680.405186296321</v>
      </c>
      <c r="L12" s="35">
        <f t="shared" si="3"/>
        <v>31294.013290022249</v>
      </c>
      <c r="M12" s="35">
        <f t="shared" si="3"/>
        <v>31919.893555822695</v>
      </c>
      <c r="N12" s="35">
        <f t="shared" si="3"/>
        <v>32558.291426939148</v>
      </c>
      <c r="O12" s="35">
        <f t="shared" si="3"/>
        <v>33209.45725547793</v>
      </c>
    </row>
    <row r="13" spans="2:16" x14ac:dyDescent="0.3">
      <c r="B13" s="39" t="s">
        <v>24</v>
      </c>
      <c r="E13" s="34">
        <v>3000</v>
      </c>
      <c r="F13" s="35">
        <f t="shared" ref="F13:O13" si="4">E13*(1+F$10)</f>
        <v>3120</v>
      </c>
      <c r="G13" s="35">
        <f t="shared" si="4"/>
        <v>3213.6</v>
      </c>
      <c r="H13" s="35">
        <f t="shared" si="4"/>
        <v>3277.8719999999998</v>
      </c>
      <c r="I13" s="35">
        <f t="shared" si="4"/>
        <v>3343.4294399999999</v>
      </c>
      <c r="J13" s="35">
        <f t="shared" si="4"/>
        <v>3410.2980287999999</v>
      </c>
      <c r="K13" s="35">
        <f t="shared" si="4"/>
        <v>3478.5039893759999</v>
      </c>
      <c r="L13" s="35">
        <f t="shared" si="4"/>
        <v>3548.0740691635201</v>
      </c>
      <c r="M13" s="35">
        <f t="shared" si="4"/>
        <v>3619.0355505467905</v>
      </c>
      <c r="N13" s="35">
        <f t="shared" si="4"/>
        <v>3691.4162615577266</v>
      </c>
      <c r="O13" s="35">
        <f t="shared" si="4"/>
        <v>3765.244586788881</v>
      </c>
    </row>
    <row r="14" spans="2:16" x14ac:dyDescent="0.3">
      <c r="B14" s="1" t="s">
        <v>25</v>
      </c>
      <c r="E14" s="37">
        <f>SUM(E11:E13)</f>
        <v>479460</v>
      </c>
      <c r="F14" s="37">
        <f t="shared" ref="F14:O14" si="5">SUM(F11:F13)</f>
        <v>498638.4</v>
      </c>
      <c r="G14" s="37">
        <f t="shared" si="5"/>
        <v>513597.55199999997</v>
      </c>
      <c r="H14" s="37">
        <f t="shared" si="5"/>
        <v>523869.50303999998</v>
      </c>
      <c r="I14" s="37">
        <f t="shared" si="5"/>
        <v>534346.89310079999</v>
      </c>
      <c r="J14" s="37">
        <f t="shared" si="5"/>
        <v>545033.83096281602</v>
      </c>
      <c r="K14" s="37">
        <f t="shared" si="5"/>
        <v>555934.50758207229</v>
      </c>
      <c r="L14" s="37">
        <f t="shared" si="5"/>
        <v>567053.19773371378</v>
      </c>
      <c r="M14" s="37">
        <f t="shared" si="5"/>
        <v>578394.26168838807</v>
      </c>
      <c r="N14" s="37">
        <f t="shared" si="5"/>
        <v>589962.14692215587</v>
      </c>
      <c r="O14" s="37">
        <f t="shared" si="5"/>
        <v>601761.38986059895</v>
      </c>
    </row>
    <row r="16" spans="2:16" x14ac:dyDescent="0.3">
      <c r="D16" s="6" t="s">
        <v>27</v>
      </c>
      <c r="E16" s="8">
        <v>0.08</v>
      </c>
      <c r="F16" s="8">
        <v>0.08</v>
      </c>
      <c r="G16" s="8">
        <v>7.0000000000000007E-2</v>
      </c>
      <c r="H16" s="8">
        <v>7.0000000000000007E-2</v>
      </c>
      <c r="I16" s="8">
        <v>0.06</v>
      </c>
      <c r="J16" s="8">
        <v>0.06</v>
      </c>
      <c r="K16" s="8">
        <v>0.06</v>
      </c>
      <c r="L16" s="8">
        <v>0.06</v>
      </c>
      <c r="M16" s="8">
        <v>0.06</v>
      </c>
      <c r="N16" s="8">
        <v>0.06</v>
      </c>
      <c r="O16" s="8">
        <v>0.06</v>
      </c>
    </row>
    <row r="17" spans="2:15" x14ac:dyDescent="0.3">
      <c r="B17" t="s">
        <v>27</v>
      </c>
      <c r="E17" s="35">
        <f>E16*E14</f>
        <v>38356.800000000003</v>
      </c>
      <c r="F17" s="35">
        <f t="shared" ref="F17:O17" si="6">F16*F14</f>
        <v>39891.072</v>
      </c>
      <c r="G17" s="35">
        <f t="shared" si="6"/>
        <v>35951.82864</v>
      </c>
      <c r="H17" s="35">
        <f t="shared" si="6"/>
        <v>36670.865212800003</v>
      </c>
      <c r="I17" s="35">
        <f t="shared" si="6"/>
        <v>32060.813586048</v>
      </c>
      <c r="J17" s="35">
        <f t="shared" si="6"/>
        <v>32702.029857768961</v>
      </c>
      <c r="K17" s="35">
        <f t="shared" si="6"/>
        <v>33356.070454924338</v>
      </c>
      <c r="L17" s="35">
        <f t="shared" si="6"/>
        <v>34023.191864022825</v>
      </c>
      <c r="M17" s="35">
        <f t="shared" si="6"/>
        <v>34703.65570130328</v>
      </c>
      <c r="N17" s="35">
        <f t="shared" si="6"/>
        <v>35397.728815329348</v>
      </c>
      <c r="O17" s="35">
        <f t="shared" si="6"/>
        <v>36105.683391635939</v>
      </c>
    </row>
    <row r="18" spans="2:15" x14ac:dyDescent="0.3">
      <c r="B18" s="1" t="s">
        <v>28</v>
      </c>
      <c r="E18" s="37">
        <f>E14-E17</f>
        <v>441103.2</v>
      </c>
      <c r="F18" s="37">
        <f t="shared" ref="F18:O18" si="7">F14-F17</f>
        <v>458747.32800000004</v>
      </c>
      <c r="G18" s="37">
        <f t="shared" si="7"/>
        <v>477645.72335999995</v>
      </c>
      <c r="H18" s="37">
        <f t="shared" si="7"/>
        <v>487198.6378272</v>
      </c>
      <c r="I18" s="37">
        <f t="shared" si="7"/>
        <v>502286.07951475197</v>
      </c>
      <c r="J18" s="37">
        <f t="shared" si="7"/>
        <v>512331.80110504705</v>
      </c>
      <c r="K18" s="37">
        <f t="shared" si="7"/>
        <v>522578.43712714792</v>
      </c>
      <c r="L18" s="37">
        <f t="shared" si="7"/>
        <v>533030.00586969091</v>
      </c>
      <c r="M18" s="37">
        <f t="shared" si="7"/>
        <v>543690.6059870848</v>
      </c>
      <c r="N18" s="37">
        <f t="shared" si="7"/>
        <v>554564.41810682649</v>
      </c>
      <c r="O18" s="37">
        <f t="shared" si="7"/>
        <v>565655.70646896306</v>
      </c>
    </row>
    <row r="20" spans="2:15" x14ac:dyDescent="0.3">
      <c r="B20" t="s">
        <v>29</v>
      </c>
      <c r="D20" s="6" t="s">
        <v>26</v>
      </c>
      <c r="E20" s="8">
        <v>0</v>
      </c>
      <c r="F20" s="8">
        <v>0.02</v>
      </c>
      <c r="G20" s="8">
        <f>F20</f>
        <v>0.02</v>
      </c>
      <c r="H20" s="8">
        <f t="shared" ref="H20:O20" si="8">G20</f>
        <v>0.02</v>
      </c>
      <c r="I20" s="8">
        <f t="shared" si="8"/>
        <v>0.02</v>
      </c>
      <c r="J20" s="8">
        <f t="shared" si="8"/>
        <v>0.02</v>
      </c>
      <c r="K20" s="8">
        <f t="shared" si="8"/>
        <v>0.02</v>
      </c>
      <c r="L20" s="8">
        <f t="shared" si="8"/>
        <v>0.02</v>
      </c>
      <c r="M20" s="8">
        <f t="shared" si="8"/>
        <v>0.02</v>
      </c>
      <c r="N20" s="8">
        <f t="shared" si="8"/>
        <v>0.02</v>
      </c>
      <c r="O20" s="8">
        <f t="shared" si="8"/>
        <v>0.02</v>
      </c>
    </row>
    <row r="21" spans="2:15" x14ac:dyDescent="0.3">
      <c r="B21" s="5" t="s">
        <v>30</v>
      </c>
      <c r="E21" s="34">
        <v>30000</v>
      </c>
      <c r="F21" s="35">
        <f>E21*(1+F$20)</f>
        <v>30600</v>
      </c>
      <c r="G21" s="35">
        <f t="shared" ref="G21:O21" si="9">F21*(1+G$20)</f>
        <v>31212</v>
      </c>
      <c r="H21" s="35">
        <f t="shared" si="9"/>
        <v>31836.240000000002</v>
      </c>
      <c r="I21" s="35">
        <f t="shared" si="9"/>
        <v>32472.964800000002</v>
      </c>
      <c r="J21" s="35">
        <f t="shared" si="9"/>
        <v>33122.424096000002</v>
      </c>
      <c r="K21" s="35">
        <f t="shared" si="9"/>
        <v>33784.872577920003</v>
      </c>
      <c r="L21" s="35">
        <f t="shared" si="9"/>
        <v>34460.570029478404</v>
      </c>
      <c r="M21" s="35">
        <f t="shared" si="9"/>
        <v>35149.781430067975</v>
      </c>
      <c r="N21" s="35">
        <f t="shared" si="9"/>
        <v>35852.777058669337</v>
      </c>
      <c r="O21" s="35">
        <f t="shared" si="9"/>
        <v>36569.832599842724</v>
      </c>
    </row>
    <row r="22" spans="2:15" x14ac:dyDescent="0.3">
      <c r="B22" s="5" t="s">
        <v>31</v>
      </c>
      <c r="E22" s="34">
        <v>60000</v>
      </c>
      <c r="F22" s="35">
        <f t="shared" ref="F22:O26" si="10">E22*(1+F$20)</f>
        <v>61200</v>
      </c>
      <c r="G22" s="35">
        <f t="shared" si="10"/>
        <v>62424</v>
      </c>
      <c r="H22" s="35">
        <f t="shared" si="10"/>
        <v>63672.480000000003</v>
      </c>
      <c r="I22" s="35">
        <f t="shared" si="10"/>
        <v>64945.929600000003</v>
      </c>
      <c r="J22" s="35">
        <f t="shared" si="10"/>
        <v>66244.848192000005</v>
      </c>
      <c r="K22" s="35">
        <f t="shared" si="10"/>
        <v>67569.745155840006</v>
      </c>
      <c r="L22" s="35">
        <f t="shared" si="10"/>
        <v>68921.140058956807</v>
      </c>
      <c r="M22" s="35">
        <f t="shared" si="10"/>
        <v>70299.562860135949</v>
      </c>
      <c r="N22" s="35">
        <f t="shared" si="10"/>
        <v>71705.554117338674</v>
      </c>
      <c r="O22" s="35">
        <f t="shared" si="10"/>
        <v>73139.665199685449</v>
      </c>
    </row>
    <row r="23" spans="2:15" x14ac:dyDescent="0.3">
      <c r="B23" s="5" t="s">
        <v>32</v>
      </c>
      <c r="E23" s="34">
        <v>80000</v>
      </c>
      <c r="F23" s="35">
        <f t="shared" si="10"/>
        <v>81600</v>
      </c>
      <c r="G23" s="35">
        <f t="shared" si="10"/>
        <v>83232</v>
      </c>
      <c r="H23" s="35">
        <f t="shared" si="10"/>
        <v>84896.639999999999</v>
      </c>
      <c r="I23" s="35">
        <f t="shared" si="10"/>
        <v>86594.572799999994</v>
      </c>
      <c r="J23" s="35">
        <f t="shared" si="10"/>
        <v>88326.464255999992</v>
      </c>
      <c r="K23" s="35">
        <f t="shared" si="10"/>
        <v>90092.993541119999</v>
      </c>
      <c r="L23" s="35">
        <f t="shared" si="10"/>
        <v>91894.8534119424</v>
      </c>
      <c r="M23" s="35">
        <f t="shared" si="10"/>
        <v>93732.750480181247</v>
      </c>
      <c r="N23" s="35">
        <f t="shared" si="10"/>
        <v>95607.405489784869</v>
      </c>
      <c r="O23" s="35">
        <f t="shared" si="10"/>
        <v>97519.553599580569</v>
      </c>
    </row>
    <row r="24" spans="2:15" x14ac:dyDescent="0.3">
      <c r="B24" s="5" t="s">
        <v>33</v>
      </c>
      <c r="E24" s="34">
        <v>25156</v>
      </c>
      <c r="F24" s="35">
        <f t="shared" si="10"/>
        <v>25659.119999999999</v>
      </c>
      <c r="G24" s="35">
        <f t="shared" si="10"/>
        <v>26172.3024</v>
      </c>
      <c r="H24" s="35">
        <f t="shared" si="10"/>
        <v>26695.748448000002</v>
      </c>
      <c r="I24" s="35">
        <f t="shared" si="10"/>
        <v>27229.663416960004</v>
      </c>
      <c r="J24" s="35">
        <f t="shared" si="10"/>
        <v>27774.256685299206</v>
      </c>
      <c r="K24" s="35">
        <f t="shared" si="10"/>
        <v>28329.74181900519</v>
      </c>
      <c r="L24" s="35">
        <f t="shared" si="10"/>
        <v>28896.336655385294</v>
      </c>
      <c r="M24" s="35">
        <f t="shared" si="10"/>
        <v>29474.263388493</v>
      </c>
      <c r="N24" s="35">
        <f t="shared" si="10"/>
        <v>30063.748656262862</v>
      </c>
      <c r="O24" s="35">
        <f t="shared" si="10"/>
        <v>30665.023629388121</v>
      </c>
    </row>
    <row r="25" spans="2:15" x14ac:dyDescent="0.3">
      <c r="B25" s="5" t="s">
        <v>34</v>
      </c>
      <c r="E25" s="34">
        <v>15000</v>
      </c>
      <c r="F25" s="35">
        <f t="shared" si="10"/>
        <v>15300</v>
      </c>
      <c r="G25" s="35">
        <f t="shared" si="10"/>
        <v>15606</v>
      </c>
      <c r="H25" s="35">
        <f t="shared" si="10"/>
        <v>15918.12</v>
      </c>
      <c r="I25" s="35">
        <f t="shared" si="10"/>
        <v>16236.482400000001</v>
      </c>
      <c r="J25" s="35">
        <f t="shared" si="10"/>
        <v>16561.212048000001</v>
      </c>
      <c r="K25" s="35">
        <f t="shared" si="10"/>
        <v>16892.436288960002</v>
      </c>
      <c r="L25" s="35">
        <f t="shared" si="10"/>
        <v>17230.285014739202</v>
      </c>
      <c r="M25" s="35">
        <f t="shared" si="10"/>
        <v>17574.890715033987</v>
      </c>
      <c r="N25" s="35">
        <f t="shared" si="10"/>
        <v>17926.388529334668</v>
      </c>
      <c r="O25" s="35">
        <f t="shared" si="10"/>
        <v>18284.916299921362</v>
      </c>
    </row>
    <row r="26" spans="2:15" x14ac:dyDescent="0.3">
      <c r="B26" s="5" t="s">
        <v>35</v>
      </c>
      <c r="E26" s="34">
        <v>115000</v>
      </c>
      <c r="F26" s="35">
        <f t="shared" si="10"/>
        <v>117300</v>
      </c>
      <c r="G26" s="35">
        <f t="shared" si="10"/>
        <v>119646</v>
      </c>
      <c r="H26" s="35">
        <f t="shared" si="10"/>
        <v>122038.92</v>
      </c>
      <c r="I26" s="35">
        <f t="shared" si="10"/>
        <v>124479.69839999999</v>
      </c>
      <c r="J26" s="35">
        <f t="shared" si="10"/>
        <v>126969.29236799999</v>
      </c>
      <c r="K26" s="35">
        <f t="shared" si="10"/>
        <v>129508.67821535999</v>
      </c>
      <c r="L26" s="35">
        <f t="shared" si="10"/>
        <v>132098.85177966719</v>
      </c>
      <c r="M26" s="35">
        <f t="shared" si="10"/>
        <v>134740.82881526055</v>
      </c>
      <c r="N26" s="35">
        <f t="shared" si="10"/>
        <v>137435.64539156578</v>
      </c>
      <c r="O26" s="35">
        <f t="shared" si="10"/>
        <v>140184.35829939711</v>
      </c>
    </row>
    <row r="27" spans="2:15" x14ac:dyDescent="0.3">
      <c r="B27" s="13" t="s">
        <v>57</v>
      </c>
      <c r="E27" s="37">
        <f>SUM(E21:E26)</f>
        <v>325156</v>
      </c>
      <c r="F27" s="37">
        <f>SUM(F21:F26)</f>
        <v>331659.12</v>
      </c>
      <c r="G27" s="37">
        <f t="shared" ref="G27:O27" si="11">SUM(G21:G26)</f>
        <v>338292.30239999999</v>
      </c>
      <c r="H27" s="37">
        <f t="shared" si="11"/>
        <v>345058.14844799996</v>
      </c>
      <c r="I27" s="37">
        <f t="shared" si="11"/>
        <v>351959.31141696003</v>
      </c>
      <c r="J27" s="37">
        <f t="shared" si="11"/>
        <v>358998.49764529918</v>
      </c>
      <c r="K27" s="37">
        <f t="shared" si="11"/>
        <v>366178.4675982052</v>
      </c>
      <c r="L27" s="37">
        <f t="shared" si="11"/>
        <v>373502.03695016931</v>
      </c>
      <c r="M27" s="37">
        <f t="shared" si="11"/>
        <v>380972.0776891727</v>
      </c>
      <c r="N27" s="37">
        <f t="shared" si="11"/>
        <v>388591.51924295619</v>
      </c>
      <c r="O27" s="37">
        <f t="shared" si="11"/>
        <v>396363.34962781536</v>
      </c>
    </row>
    <row r="28" spans="2:15" x14ac:dyDescent="0.3"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2:15" x14ac:dyDescent="0.3">
      <c r="B29" s="10" t="s">
        <v>36</v>
      </c>
      <c r="E29" s="38">
        <f>E18-E27</f>
        <v>115947.20000000001</v>
      </c>
      <c r="F29" s="38">
        <f t="shared" ref="F29:O29" si="12">F18-F27</f>
        <v>127088.20800000004</v>
      </c>
      <c r="G29" s="38">
        <f t="shared" si="12"/>
        <v>139353.42095999996</v>
      </c>
      <c r="H29" s="38">
        <f t="shared" si="12"/>
        <v>142140.48937920004</v>
      </c>
      <c r="I29" s="38">
        <f t="shared" si="12"/>
        <v>150326.76809779194</v>
      </c>
      <c r="J29" s="38">
        <f t="shared" si="12"/>
        <v>153333.30345974787</v>
      </c>
      <c r="K29" s="38">
        <f t="shared" si="12"/>
        <v>156399.96952894272</v>
      </c>
      <c r="L29" s="38">
        <f t="shared" si="12"/>
        <v>159527.96891952161</v>
      </c>
      <c r="M29" s="38">
        <f t="shared" si="12"/>
        <v>162718.5282979121</v>
      </c>
      <c r="N29" s="38">
        <f t="shared" si="12"/>
        <v>165972.8988638703</v>
      </c>
      <c r="O29" s="38">
        <f t="shared" si="12"/>
        <v>169292.3568411477</v>
      </c>
    </row>
    <row r="30" spans="2:15" x14ac:dyDescent="0.3">
      <c r="B30" s="5" t="s">
        <v>37</v>
      </c>
      <c r="E30" s="34">
        <v>12500</v>
      </c>
      <c r="F30" s="35">
        <f>E30*(1+F$20)</f>
        <v>12750</v>
      </c>
      <c r="G30" s="35">
        <f t="shared" ref="G30:N30" si="13">F30*(1+G$20)</f>
        <v>13005</v>
      </c>
      <c r="H30" s="35">
        <f t="shared" si="13"/>
        <v>13265.1</v>
      </c>
      <c r="I30" s="35">
        <f>H30*(1+I$20)</f>
        <v>13530.402</v>
      </c>
      <c r="J30" s="35">
        <f t="shared" si="13"/>
        <v>13801.010040000001</v>
      </c>
      <c r="K30" s="35">
        <f t="shared" si="13"/>
        <v>14077.030240800001</v>
      </c>
      <c r="L30" s="35">
        <f t="shared" si="13"/>
        <v>14358.570845616001</v>
      </c>
      <c r="M30" s="35">
        <f t="shared" si="13"/>
        <v>14645.742262528322</v>
      </c>
      <c r="N30" s="35">
        <f t="shared" si="13"/>
        <v>14938.657107778889</v>
      </c>
      <c r="O30" s="35">
        <f>N30*(1+O$20)</f>
        <v>15237.430249934467</v>
      </c>
    </row>
    <row r="31" spans="2:15" x14ac:dyDescent="0.3">
      <c r="B31" s="14" t="s">
        <v>38</v>
      </c>
      <c r="E31" s="37">
        <f t="shared" ref="E31:N31" si="14">E29-E30</f>
        <v>103447.20000000001</v>
      </c>
      <c r="F31" s="37">
        <f t="shared" si="14"/>
        <v>114338.20800000004</v>
      </c>
      <c r="G31" s="37">
        <f t="shared" si="14"/>
        <v>126348.42095999996</v>
      </c>
      <c r="H31" s="37">
        <f t="shared" si="14"/>
        <v>128875.38937920003</v>
      </c>
      <c r="I31" s="37">
        <f t="shared" si="14"/>
        <v>136796.36609779194</v>
      </c>
      <c r="J31" s="37">
        <f t="shared" si="14"/>
        <v>139532.29341974788</v>
      </c>
      <c r="K31" s="37">
        <f t="shared" si="14"/>
        <v>142322.93928814272</v>
      </c>
      <c r="L31" s="37">
        <f t="shared" si="14"/>
        <v>145169.39807390561</v>
      </c>
      <c r="M31" s="37">
        <f t="shared" si="14"/>
        <v>148072.78603538376</v>
      </c>
      <c r="N31" s="37">
        <f t="shared" si="14"/>
        <v>151034.24175609142</v>
      </c>
      <c r="O31" s="37">
        <f>O29-O30</f>
        <v>154054.92659121324</v>
      </c>
    </row>
    <row r="33" spans="2:15" x14ac:dyDescent="0.3">
      <c r="B33" s="5" t="s">
        <v>39</v>
      </c>
      <c r="E33" s="35">
        <f t="shared" ref="E33:O33" si="15">$H$6*Months</f>
        <v>64009.585608472582</v>
      </c>
      <c r="F33" s="35">
        <f t="shared" si="15"/>
        <v>64009.585608472582</v>
      </c>
      <c r="G33" s="35">
        <f t="shared" si="15"/>
        <v>64009.585608472582</v>
      </c>
      <c r="H33" s="35">
        <f t="shared" si="15"/>
        <v>64009.585608472582</v>
      </c>
      <c r="I33" s="35">
        <f t="shared" si="15"/>
        <v>64009.585608472582</v>
      </c>
      <c r="J33" s="35">
        <f t="shared" si="15"/>
        <v>64009.585608472582</v>
      </c>
      <c r="K33" s="35">
        <f t="shared" si="15"/>
        <v>64009.585608472582</v>
      </c>
      <c r="L33" s="35">
        <f t="shared" si="15"/>
        <v>64009.585608472582</v>
      </c>
      <c r="M33" s="35">
        <f t="shared" si="15"/>
        <v>64009.585608472582</v>
      </c>
      <c r="N33" s="35">
        <f t="shared" si="15"/>
        <v>64009.585608472582</v>
      </c>
      <c r="O33" s="35">
        <f t="shared" si="15"/>
        <v>64009.585608472582</v>
      </c>
    </row>
    <row r="34" spans="2:15" x14ac:dyDescent="0.3">
      <c r="B34" s="1" t="s">
        <v>40</v>
      </c>
      <c r="E34" s="38">
        <f t="shared" ref="E34:N34" si="16">E31-E33</f>
        <v>39437.61439152743</v>
      </c>
      <c r="F34" s="38">
        <f t="shared" si="16"/>
        <v>50328.62239152746</v>
      </c>
      <c r="G34" s="38">
        <f t="shared" si="16"/>
        <v>62338.835351527377</v>
      </c>
      <c r="H34" s="38">
        <f t="shared" si="16"/>
        <v>64865.803770727449</v>
      </c>
      <c r="I34" s="38">
        <f t="shared" si="16"/>
        <v>72786.780489319353</v>
      </c>
      <c r="J34" s="38">
        <f t="shared" si="16"/>
        <v>75522.707811275293</v>
      </c>
      <c r="K34" s="38">
        <f t="shared" si="16"/>
        <v>78313.353679670137</v>
      </c>
      <c r="L34" s="38">
        <f t="shared" si="16"/>
        <v>81159.812465433031</v>
      </c>
      <c r="M34" s="38">
        <f t="shared" si="16"/>
        <v>84063.200426911179</v>
      </c>
      <c r="N34" s="38">
        <f t="shared" si="16"/>
        <v>87024.656147618836</v>
      </c>
      <c r="O34" s="38">
        <f>O31-O33</f>
        <v>90045.340982740658</v>
      </c>
    </row>
    <row r="35" spans="2:15" x14ac:dyDescent="0.3">
      <c r="E35" s="41"/>
    </row>
    <row r="36" spans="2:15" x14ac:dyDescent="0.3">
      <c r="B36" s="1" t="s">
        <v>41</v>
      </c>
      <c r="D36" s="7">
        <v>0</v>
      </c>
      <c r="E36" s="7">
        <f>D36+1</f>
        <v>1</v>
      </c>
      <c r="F36" s="7">
        <f t="shared" ref="F36:O36" si="17">E36+1</f>
        <v>2</v>
      </c>
      <c r="G36" s="7">
        <f t="shared" si="17"/>
        <v>3</v>
      </c>
      <c r="H36" s="7">
        <f t="shared" si="17"/>
        <v>4</v>
      </c>
      <c r="I36" s="7">
        <f t="shared" si="17"/>
        <v>5</v>
      </c>
      <c r="J36" s="7">
        <f t="shared" si="17"/>
        <v>6</v>
      </c>
      <c r="K36" s="7">
        <f t="shared" si="17"/>
        <v>7</v>
      </c>
      <c r="L36" s="7">
        <f t="shared" si="17"/>
        <v>8</v>
      </c>
      <c r="M36" s="7">
        <f t="shared" si="17"/>
        <v>9</v>
      </c>
      <c r="N36" s="7">
        <f t="shared" si="17"/>
        <v>10</v>
      </c>
      <c r="O36" s="7">
        <f t="shared" si="17"/>
        <v>11</v>
      </c>
    </row>
    <row r="37" spans="2:15" x14ac:dyDescent="0.3">
      <c r="B37" s="15" t="s">
        <v>68</v>
      </c>
      <c r="C37" s="16"/>
      <c r="D37" s="16"/>
      <c r="E37" s="36">
        <f>PV($H$4/Months,$H$5-(E36*Months),$H$6)</f>
        <v>-1319391.2708403741</v>
      </c>
      <c r="F37" s="36">
        <f t="shared" ref="F37:O37" si="18">PV($H$4/Months,$H$5-(F36*Months),$H$6)</f>
        <v>-1288008.4941500255</v>
      </c>
      <c r="G37" s="36">
        <f t="shared" si="18"/>
        <v>-1255832.0954613273</v>
      </c>
      <c r="H37" s="36">
        <f t="shared" si="18"/>
        <v>-1222842.0052985125</v>
      </c>
      <c r="I37" s="36">
        <f t="shared" si="18"/>
        <v>-1189017.6466597402</v>
      </c>
      <c r="J37" s="36">
        <f t="shared" si="18"/>
        <v>-1154337.9221825446</v>
      </c>
      <c r="K37" s="36">
        <f t="shared" si="18"/>
        <v>-1118781.2009847146</v>
      </c>
      <c r="L37" s="36">
        <f t="shared" si="18"/>
        <v>-1082325.3051724066</v>
      </c>
      <c r="M37" s="36">
        <f t="shared" si="18"/>
        <v>-1044947.4960070618</v>
      </c>
      <c r="N37" s="36">
        <f t="shared" si="18"/>
        <v>-1006624.4597225091</v>
      </c>
      <c r="O37" s="36">
        <f t="shared" si="18"/>
        <v>-967332.29298340587</v>
      </c>
    </row>
    <row r="38" spans="2:15" x14ac:dyDescent="0.3">
      <c r="B38" s="5" t="s">
        <v>42</v>
      </c>
      <c r="E38" s="11">
        <f>E29/E33</f>
        <v>1.8114036967715152</v>
      </c>
      <c r="F38" s="11">
        <f t="shared" ref="F38:O38" si="19">F29/F33</f>
        <v>1.985455878083018</v>
      </c>
      <c r="G38" s="11">
        <f t="shared" si="19"/>
        <v>2.1770711313830868</v>
      </c>
      <c r="H38" s="11">
        <f t="shared" si="19"/>
        <v>2.2206125540107498</v>
      </c>
      <c r="I38" s="11">
        <f t="shared" si="19"/>
        <v>2.3485040040298908</v>
      </c>
      <c r="J38" s="11">
        <f t="shared" si="19"/>
        <v>2.3954740841104902</v>
      </c>
      <c r="K38" s="11">
        <f t="shared" si="19"/>
        <v>2.4433835657926983</v>
      </c>
      <c r="L38" s="11">
        <f t="shared" si="19"/>
        <v>2.4922512371085528</v>
      </c>
      <c r="M38" s="11">
        <f t="shared" si="19"/>
        <v>2.5420962618507246</v>
      </c>
      <c r="N38" s="11">
        <f t="shared" si="19"/>
        <v>2.5929381870877388</v>
      </c>
      <c r="O38" s="11">
        <f t="shared" si="19"/>
        <v>2.6447969508294933</v>
      </c>
    </row>
    <row r="39" spans="2:15" x14ac:dyDescent="0.3">
      <c r="B39" s="5" t="s">
        <v>43</v>
      </c>
      <c r="E39" s="12">
        <f>E29/-E37</f>
        <v>8.7879314167470968E-2</v>
      </c>
      <c r="F39" s="12">
        <f t="shared" ref="F39:N39" si="20">F29/-F37</f>
        <v>9.8670318229436282E-2</v>
      </c>
      <c r="G39" s="12">
        <f t="shared" si="20"/>
        <v>0.11096500994331472</v>
      </c>
      <c r="H39" s="12">
        <f t="shared" si="20"/>
        <v>0.11623782039160618</v>
      </c>
      <c r="I39" s="12">
        <f t="shared" si="20"/>
        <v>0.12642938355044511</v>
      </c>
      <c r="J39" s="12">
        <f t="shared" si="20"/>
        <v>0.13283224999646165</v>
      </c>
      <c r="K39" s="12">
        <f t="shared" si="20"/>
        <v>0.13979495668257974</v>
      </c>
      <c r="L39" s="12">
        <f t="shared" si="20"/>
        <v>0.14739373472757339</v>
      </c>
      <c r="M39" s="12">
        <f t="shared" si="20"/>
        <v>0.15571933414806943</v>
      </c>
      <c r="N39" s="12">
        <f t="shared" si="20"/>
        <v>0.16488065361497692</v>
      </c>
      <c r="O39" s="12">
        <f>O29/-O37</f>
        <v>0.17500951644964036</v>
      </c>
    </row>
    <row r="41" spans="2:15" x14ac:dyDescent="0.3">
      <c r="B41" s="14" t="s">
        <v>44</v>
      </c>
      <c r="D41" s="7">
        <v>0</v>
      </c>
      <c r="E41" s="7">
        <f>D41+1</f>
        <v>1</v>
      </c>
      <c r="F41" s="7">
        <f t="shared" ref="F41:O41" si="21">E41+1</f>
        <v>2</v>
      </c>
      <c r="G41" s="7">
        <f t="shared" si="21"/>
        <v>3</v>
      </c>
      <c r="H41" s="7">
        <f t="shared" si="21"/>
        <v>4</v>
      </c>
      <c r="I41" s="7">
        <f t="shared" si="21"/>
        <v>5</v>
      </c>
      <c r="J41" s="7">
        <f t="shared" si="21"/>
        <v>6</v>
      </c>
      <c r="K41" s="7">
        <f t="shared" si="21"/>
        <v>7</v>
      </c>
      <c r="L41" s="7">
        <f t="shared" si="21"/>
        <v>8</v>
      </c>
      <c r="M41" s="7">
        <f t="shared" si="21"/>
        <v>9</v>
      </c>
      <c r="N41" s="7">
        <f t="shared" si="21"/>
        <v>10</v>
      </c>
      <c r="O41" s="7">
        <f t="shared" si="21"/>
        <v>11</v>
      </c>
    </row>
    <row r="42" spans="2:15" x14ac:dyDescent="0.3">
      <c r="B42" s="15" t="s">
        <v>45</v>
      </c>
      <c r="C42" s="16"/>
      <c r="D42" s="36">
        <f>-D5</f>
        <v>-2250000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2:15" x14ac:dyDescent="0.3">
      <c r="B43" s="5" t="s">
        <v>38</v>
      </c>
      <c r="E43" s="35">
        <f>E31</f>
        <v>103447.20000000001</v>
      </c>
      <c r="F43" s="35">
        <f t="shared" ref="F43:O43" si="22">F31</f>
        <v>114338.20800000004</v>
      </c>
      <c r="G43" s="35">
        <f t="shared" si="22"/>
        <v>126348.42095999996</v>
      </c>
      <c r="H43" s="35">
        <f t="shared" si="22"/>
        <v>128875.38937920003</v>
      </c>
      <c r="I43" s="35">
        <f t="shared" si="22"/>
        <v>136796.36609779194</v>
      </c>
      <c r="J43" s="35">
        <f t="shared" si="22"/>
        <v>139532.29341974788</v>
      </c>
      <c r="K43" s="35">
        <f t="shared" si="22"/>
        <v>142322.93928814272</v>
      </c>
      <c r="L43" s="35">
        <f t="shared" si="22"/>
        <v>145169.39807390561</v>
      </c>
      <c r="M43" s="35">
        <f t="shared" si="22"/>
        <v>148072.78603538376</v>
      </c>
      <c r="N43" s="35">
        <f t="shared" si="22"/>
        <v>151034.24175609142</v>
      </c>
      <c r="O43" s="35">
        <f t="shared" si="22"/>
        <v>154054.92659121324</v>
      </c>
    </row>
    <row r="44" spans="2:15" x14ac:dyDescent="0.3">
      <c r="B44" s="5" t="s">
        <v>46</v>
      </c>
      <c r="N44" s="35">
        <f>O29/P3</f>
        <v>2944214.9015851775</v>
      </c>
    </row>
    <row r="45" spans="2:15" x14ac:dyDescent="0.3">
      <c r="B45" s="5" t="s">
        <v>47</v>
      </c>
      <c r="N45" s="35">
        <f>N44*-P4</f>
        <v>-36802.686269814723</v>
      </c>
    </row>
    <row r="46" spans="2:15" x14ac:dyDescent="0.3">
      <c r="B46" s="14" t="s">
        <v>48</v>
      </c>
      <c r="D46" s="35">
        <f>SUM(D42:D45)</f>
        <v>-2250000</v>
      </c>
      <c r="E46" s="38">
        <f t="shared" ref="E46:N46" si="23">SUM(E42:E45)</f>
        <v>103447.20000000001</v>
      </c>
      <c r="F46" s="38">
        <f t="shared" si="23"/>
        <v>114338.20800000004</v>
      </c>
      <c r="G46" s="38">
        <f t="shared" si="23"/>
        <v>126348.42095999996</v>
      </c>
      <c r="H46" s="38">
        <f t="shared" si="23"/>
        <v>128875.38937920003</v>
      </c>
      <c r="I46" s="38">
        <f t="shared" si="23"/>
        <v>136796.36609779194</v>
      </c>
      <c r="J46" s="38">
        <f t="shared" si="23"/>
        <v>139532.29341974788</v>
      </c>
      <c r="K46" s="38">
        <f t="shared" si="23"/>
        <v>142322.93928814272</v>
      </c>
      <c r="L46" s="38">
        <f t="shared" si="23"/>
        <v>145169.39807390561</v>
      </c>
      <c r="M46" s="38">
        <f t="shared" si="23"/>
        <v>148072.78603538376</v>
      </c>
      <c r="N46" s="38">
        <f t="shared" si="23"/>
        <v>3058446.4570714543</v>
      </c>
    </row>
    <row r="47" spans="2:15" x14ac:dyDescent="0.3">
      <c r="C47" s="21" t="s">
        <v>49</v>
      </c>
      <c r="D47" s="18">
        <f>AVERAGE(E47:N47)</f>
        <v>5.9374988578233923E-2</v>
      </c>
      <c r="E47" s="12">
        <f>E43/-$D$42</f>
        <v>4.597653333333334E-2</v>
      </c>
      <c r="F47" s="12">
        <f t="shared" ref="F47:M47" si="24">F43/-$D$42</f>
        <v>5.0816981333333351E-2</v>
      </c>
      <c r="G47" s="12">
        <f t="shared" si="24"/>
        <v>5.6154853759999984E-2</v>
      </c>
      <c r="H47" s="12">
        <f t="shared" si="24"/>
        <v>5.7277950835200014E-2</v>
      </c>
      <c r="I47" s="12">
        <f t="shared" si="24"/>
        <v>6.079838493235197E-2</v>
      </c>
      <c r="J47" s="12">
        <f t="shared" si="24"/>
        <v>6.2014352630999053E-2</v>
      </c>
      <c r="K47" s="12">
        <f t="shared" si="24"/>
        <v>6.3254639683618982E-2</v>
      </c>
      <c r="L47" s="12">
        <f t="shared" si="24"/>
        <v>6.4519732477291383E-2</v>
      </c>
      <c r="M47" s="12">
        <f t="shared" si="24"/>
        <v>6.5810127126837231E-2</v>
      </c>
      <c r="N47" s="12">
        <f>N43/-$D$42</f>
        <v>6.7126329669373958E-2</v>
      </c>
    </row>
    <row r="48" spans="2:15" x14ac:dyDescent="0.3">
      <c r="C48" s="21" t="s">
        <v>50</v>
      </c>
      <c r="D48" s="18">
        <f>IRR(D46:N46)</f>
        <v>7.8337810774800065E-2</v>
      </c>
    </row>
    <row r="49" spans="2:15" x14ac:dyDescent="0.3">
      <c r="C49" s="21" t="s">
        <v>67</v>
      </c>
      <c r="D49" s="19">
        <f>SUMIF(D46:N46,"&gt;0",D46:N46)/-SUMIF(D46:N46,"&lt;0",D46:N46)</f>
        <v>1.8859330925891673</v>
      </c>
    </row>
    <row r="50" spans="2:15" x14ac:dyDescent="0.3">
      <c r="C50" s="22"/>
    </row>
    <row r="51" spans="2:15" x14ac:dyDescent="0.3">
      <c r="B51" t="s">
        <v>45</v>
      </c>
      <c r="C51" s="22"/>
      <c r="D51" s="35">
        <f>D42</f>
        <v>-2250000</v>
      </c>
    </row>
    <row r="52" spans="2:15" x14ac:dyDescent="0.3">
      <c r="B52" t="s">
        <v>51</v>
      </c>
      <c r="C52" s="22"/>
      <c r="D52" s="35">
        <f>H3</f>
        <v>1350000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2:15" x14ac:dyDescent="0.3">
      <c r="B53" t="s">
        <v>40</v>
      </c>
      <c r="C53" s="22"/>
      <c r="D53" s="35"/>
      <c r="E53" s="35">
        <f>E34</f>
        <v>39437.61439152743</v>
      </c>
      <c r="F53" s="35">
        <f t="shared" ref="F53:N53" si="25">F34</f>
        <v>50328.62239152746</v>
      </c>
      <c r="G53" s="35">
        <f t="shared" si="25"/>
        <v>62338.835351527377</v>
      </c>
      <c r="H53" s="35">
        <f t="shared" si="25"/>
        <v>64865.803770727449</v>
      </c>
      <c r="I53" s="35">
        <f t="shared" si="25"/>
        <v>72786.780489319353</v>
      </c>
      <c r="J53" s="35">
        <f t="shared" si="25"/>
        <v>75522.707811275293</v>
      </c>
      <c r="K53" s="35">
        <f t="shared" si="25"/>
        <v>78313.353679670137</v>
      </c>
      <c r="L53" s="35">
        <f t="shared" si="25"/>
        <v>81159.812465433031</v>
      </c>
      <c r="M53" s="35">
        <f t="shared" si="25"/>
        <v>84063.200426911179</v>
      </c>
      <c r="N53" s="35">
        <f t="shared" si="25"/>
        <v>87024.656147618836</v>
      </c>
    </row>
    <row r="54" spans="2:15" x14ac:dyDescent="0.3">
      <c r="B54" t="s">
        <v>46</v>
      </c>
      <c r="C54" s="22"/>
      <c r="N54" s="35">
        <f>N44</f>
        <v>2944214.9015851775</v>
      </c>
    </row>
    <row r="55" spans="2:15" x14ac:dyDescent="0.3">
      <c r="B55" t="s">
        <v>52</v>
      </c>
      <c r="C55" s="22"/>
      <c r="N55" s="35">
        <f>N37</f>
        <v>-1006624.4597225091</v>
      </c>
    </row>
    <row r="56" spans="2:15" x14ac:dyDescent="0.3">
      <c r="B56" t="s">
        <v>47</v>
      </c>
      <c r="C56" s="22"/>
      <c r="N56" s="35">
        <f>N45</f>
        <v>-36802.686269814723</v>
      </c>
    </row>
    <row r="57" spans="2:15" x14ac:dyDescent="0.3">
      <c r="B57" s="1" t="s">
        <v>53</v>
      </c>
      <c r="C57" s="22"/>
      <c r="D57" s="35">
        <f>SUM(D51:D56)</f>
        <v>-900000</v>
      </c>
      <c r="E57" s="38">
        <f t="shared" ref="E57:N57" si="26">SUM(E51:E56)</f>
        <v>39437.61439152743</v>
      </c>
      <c r="F57" s="38">
        <f t="shared" si="26"/>
        <v>50328.62239152746</v>
      </c>
      <c r="G57" s="38">
        <f t="shared" si="26"/>
        <v>62338.835351527377</v>
      </c>
      <c r="H57" s="38">
        <f t="shared" si="26"/>
        <v>64865.803770727449</v>
      </c>
      <c r="I57" s="38">
        <f t="shared" si="26"/>
        <v>72786.780489319353</v>
      </c>
      <c r="J57" s="38">
        <f t="shared" si="26"/>
        <v>75522.707811275293</v>
      </c>
      <c r="K57" s="38">
        <f t="shared" si="26"/>
        <v>78313.353679670137</v>
      </c>
      <c r="L57" s="38">
        <f t="shared" si="26"/>
        <v>81159.812465433031</v>
      </c>
      <c r="M57" s="38">
        <f t="shared" si="26"/>
        <v>84063.200426911179</v>
      </c>
      <c r="N57" s="38">
        <f t="shared" si="26"/>
        <v>1987812.4117404725</v>
      </c>
    </row>
    <row r="58" spans="2:15" x14ac:dyDescent="0.3">
      <c r="C58" s="21" t="s">
        <v>54</v>
      </c>
      <c r="D58" s="18">
        <f>AVERAGE(E58:N58)</f>
        <v>7.7315709658393059E-2</v>
      </c>
      <c r="E58" s="12">
        <f>E53/-$D$57</f>
        <v>4.3819571546141592E-2</v>
      </c>
      <c r="F58" s="12">
        <f t="shared" ref="F58:M58" si="27">F53/-$D$57</f>
        <v>5.592069154614162E-2</v>
      </c>
      <c r="G58" s="12">
        <f t="shared" si="27"/>
        <v>6.9265372612808199E-2</v>
      </c>
      <c r="H58" s="12">
        <f t="shared" si="27"/>
        <v>7.2073115300808274E-2</v>
      </c>
      <c r="I58" s="12">
        <f t="shared" si="27"/>
        <v>8.0874200543688171E-2</v>
      </c>
      <c r="J58" s="12">
        <f t="shared" si="27"/>
        <v>8.3914119790305886E-2</v>
      </c>
      <c r="K58" s="12">
        <f t="shared" si="27"/>
        <v>8.7014837421855715E-2</v>
      </c>
      <c r="L58" s="12">
        <f t="shared" si="27"/>
        <v>9.0177569406036703E-2</v>
      </c>
      <c r="M58" s="12">
        <f t="shared" si="27"/>
        <v>9.3403556029901316E-2</v>
      </c>
      <c r="N58" s="12">
        <f>N53/-$D$57</f>
        <v>9.6694062386243146E-2</v>
      </c>
    </row>
    <row r="59" spans="2:15" x14ac:dyDescent="0.3">
      <c r="C59" s="21" t="s">
        <v>55</v>
      </c>
      <c r="D59" s="18">
        <f>IRR(D57:N57)</f>
        <v>0.13160984027518396</v>
      </c>
    </row>
    <row r="60" spans="2:15" x14ac:dyDescent="0.3">
      <c r="C60" s="21" t="s">
        <v>56</v>
      </c>
      <c r="D60" s="19">
        <f>SUMIF(D57:N57,"&gt;0",D57:N57)/-SUMIF(D57:N57,"&lt;0",D57:N57)</f>
        <v>2.885143491687101</v>
      </c>
    </row>
    <row r="63" spans="2:15" x14ac:dyDescent="0.3">
      <c r="B63" s="1" t="s">
        <v>58</v>
      </c>
      <c r="D63" s="7">
        <v>0</v>
      </c>
      <c r="E63" s="7">
        <f>D63+1</f>
        <v>1</v>
      </c>
      <c r="F63" s="7">
        <f t="shared" ref="F63:O63" si="28">E63+1</f>
        <v>2</v>
      </c>
      <c r="G63" s="7">
        <f t="shared" si="28"/>
        <v>3</v>
      </c>
      <c r="H63" s="7">
        <f t="shared" si="28"/>
        <v>4</v>
      </c>
      <c r="I63" s="7">
        <f t="shared" si="28"/>
        <v>5</v>
      </c>
      <c r="J63" s="7">
        <f t="shared" si="28"/>
        <v>6</v>
      </c>
      <c r="K63" s="7">
        <f t="shared" si="28"/>
        <v>7</v>
      </c>
      <c r="L63" s="7">
        <f t="shared" si="28"/>
        <v>8</v>
      </c>
      <c r="M63" s="7">
        <f t="shared" si="28"/>
        <v>9</v>
      </c>
      <c r="N63" s="7">
        <f t="shared" si="28"/>
        <v>10</v>
      </c>
      <c r="O63" s="7">
        <f t="shared" si="28"/>
        <v>11</v>
      </c>
    </row>
    <row r="64" spans="2:15" x14ac:dyDescent="0.3">
      <c r="B64" s="16" t="s">
        <v>38</v>
      </c>
      <c r="C64" s="16"/>
      <c r="D64" s="16"/>
      <c r="E64" s="36">
        <f>SUM(E43:E45)</f>
        <v>103447.20000000001</v>
      </c>
      <c r="F64" s="36">
        <f t="shared" ref="F64:N64" si="29">SUM(F43:F45)</f>
        <v>114338.20800000004</v>
      </c>
      <c r="G64" s="36">
        <f t="shared" si="29"/>
        <v>126348.42095999996</v>
      </c>
      <c r="H64" s="36">
        <f t="shared" si="29"/>
        <v>128875.38937920003</v>
      </c>
      <c r="I64" s="36">
        <f t="shared" si="29"/>
        <v>136796.36609779194</v>
      </c>
      <c r="J64" s="36">
        <f t="shared" si="29"/>
        <v>139532.29341974788</v>
      </c>
      <c r="K64" s="36">
        <f t="shared" si="29"/>
        <v>142322.93928814272</v>
      </c>
      <c r="L64" s="36">
        <f t="shared" si="29"/>
        <v>145169.39807390561</v>
      </c>
      <c r="M64" s="36">
        <f t="shared" si="29"/>
        <v>148072.78603538376</v>
      </c>
      <c r="N64" s="36">
        <f t="shared" si="29"/>
        <v>3058446.4570714543</v>
      </c>
      <c r="O64" s="17"/>
    </row>
    <row r="65" spans="2:15" x14ac:dyDescent="0.3">
      <c r="B65" t="s">
        <v>63</v>
      </c>
      <c r="C65" s="23">
        <f>D6</f>
        <v>7.0000000000000007E-2</v>
      </c>
      <c r="E65" s="35">
        <f>E64/(1+$C$65)^E63</f>
        <v>96679.626168224306</v>
      </c>
      <c r="F65" s="35">
        <f t="shared" ref="F65:N65" si="30">F64/(1+$C$65)^F63</f>
        <v>99867.418988557984</v>
      </c>
      <c r="G65" s="35">
        <f t="shared" si="30"/>
        <v>103137.94777815958</v>
      </c>
      <c r="H65" s="35">
        <f t="shared" si="30"/>
        <v>98318.417508152183</v>
      </c>
      <c r="I65" s="35">
        <f t="shared" si="30"/>
        <v>97533.918431313883</v>
      </c>
      <c r="J65" s="35">
        <f t="shared" si="30"/>
        <v>92976.258691532945</v>
      </c>
      <c r="K65" s="35">
        <f t="shared" si="30"/>
        <v>88631.573705947216</v>
      </c>
      <c r="L65" s="35">
        <f t="shared" si="30"/>
        <v>84489.911383239421</v>
      </c>
      <c r="M65" s="35">
        <f t="shared" si="30"/>
        <v>80541.784683088059</v>
      </c>
      <c r="N65" s="35">
        <f t="shared" si="30"/>
        <v>1554759.0914842093</v>
      </c>
      <c r="O65" s="20"/>
    </row>
    <row r="66" spans="2:15" x14ac:dyDescent="0.3">
      <c r="B66" t="s">
        <v>61</v>
      </c>
      <c r="C66" s="35">
        <f>SUM(E65:N65)</f>
        <v>2396935.9488224247</v>
      </c>
    </row>
    <row r="67" spans="2:15" x14ac:dyDescent="0.3">
      <c r="B67" t="s">
        <v>62</v>
      </c>
      <c r="E67" s="12">
        <f>E43/$C$66</f>
        <v>4.3158099427238313E-2</v>
      </c>
      <c r="F67" s="12">
        <f t="shared" ref="F67:N67" si="31">F43/$C$66</f>
        <v>4.7701820341162028E-2</v>
      </c>
      <c r="G67" s="12">
        <f t="shared" si="31"/>
        <v>5.2712472780957233E-2</v>
      </c>
      <c r="H67" s="12">
        <f t="shared" si="31"/>
        <v>5.3766722236576407E-2</v>
      </c>
      <c r="I67" s="12">
        <f t="shared" si="31"/>
        <v>5.7071348178910554E-2</v>
      </c>
      <c r="J67" s="12">
        <f t="shared" si="31"/>
        <v>5.8212775142488807E-2</v>
      </c>
      <c r="K67" s="12">
        <f t="shared" si="31"/>
        <v>5.9377030645338537E-2</v>
      </c>
      <c r="L67" s="12">
        <f t="shared" si="31"/>
        <v>6.0564571258245326E-2</v>
      </c>
      <c r="M67" s="12">
        <f t="shared" si="31"/>
        <v>6.1775862683410246E-2</v>
      </c>
      <c r="N67" s="12">
        <f t="shared" si="31"/>
        <v>6.3011379937078449E-2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Overview</vt:lpstr>
      <vt:lpstr>Cash flows</vt:lpstr>
      <vt:lpstr>Months</vt:lpstr>
    </vt:vector>
  </TitlesOfParts>
  <Company>MapleTree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ANDREWS</dc:creator>
  <cp:lastModifiedBy>Cameron ANDREWS</cp:lastModifiedBy>
  <dcterms:created xsi:type="dcterms:W3CDTF">2019-08-10T10:54:21Z</dcterms:created>
  <dcterms:modified xsi:type="dcterms:W3CDTF">2019-09-18T21:43:47Z</dcterms:modified>
</cp:coreProperties>
</file>